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Plaza Renovation BSRP NSPPL/"/>
    </mc:Choice>
  </mc:AlternateContent>
  <xr:revisionPtr revIDLastSave="20" documentId="8_{B4F12F5C-2076-4C27-AE33-4B4F3432E580}" xr6:coauthVersionLast="47" xr6:coauthVersionMax="47" xr10:uidLastSave="{20457374-842F-482C-940F-0671AFFD838B}"/>
  <bookViews>
    <workbookView xWindow="-110" yWindow="-110" windowWidth="19420" windowHeight="10300" tabRatio="752" xr2:uid="{642A848F-CCDD-4440-9220-75ECEB22F890}"/>
  </bookViews>
  <sheets>
    <sheet name="BOQ -Maigalganj" sheetId="23" r:id="rId1"/>
    <sheet name="Misc.Repairing Items" sheetId="15" r:id="rId2"/>
    <sheet name="Toll Plaza Enam. Painting" sheetId="10" r:id="rId3"/>
    <sheet name="Toll Plaza Canopy Painting" sheetId="31" r:id="rId4"/>
    <sheet name="Aluminium Partition work" sheetId="3" r:id="rId5"/>
    <sheet name="Alum.Repairing (Build)" sheetId="5" r:id="rId6"/>
    <sheet name="Curtains" sheetId="6" r:id="rId7"/>
    <sheet name="New Doors" sheetId="26" r:id="rId8"/>
    <sheet name="Door Repairing ACP" sheetId="30" r:id="rId9"/>
    <sheet name="Booth Repairing" sheetId="8" r:id="rId10"/>
    <sheet name="Work station and Storage. " sheetId="22" state="hidden" r:id="rId11"/>
    <sheet name=" signboard" sheetId="14" state="hidden" r:id="rId12"/>
    <sheet name="Plaza Painting" sheetId="2" r:id="rId13"/>
    <sheet name="Electric Pole painting" sheetId="20" state="hidden" r:id="rId14"/>
    <sheet name="Landscaping" sheetId="11" state="hidden" r:id="rId15"/>
    <sheet name="False Ceiling" sheetId="27" state="hidden" r:id="rId16"/>
    <sheet name="NJB" sheetId="29" r:id="rId17"/>
    <sheet name="Toll plaza Boundary" sheetId="17" r:id="rId18"/>
    <sheet name="MS Gates" sheetId="18" r:id="rId19"/>
    <sheet name=" Tiles " sheetId="21" r:id="rId20"/>
    <sheet name="Elec-First Floor" sheetId="35" r:id="rId21"/>
    <sheet name="Elec-Ground Floor" sheetId="36" r:id="rId22"/>
    <sheet name="Plumbing and Sanitary Items" sheetId="33" r:id="rId23"/>
  </sheets>
  <definedNames>
    <definedName name="_xlnm._FilterDatabase" localSheetId="19" hidden="1">' Tiles '!$A$3:$J$6</definedName>
    <definedName name="_xlnm._FilterDatabase" localSheetId="13" hidden="1">'Electric Pole painting'!$A$3:$J$5</definedName>
    <definedName name="_xlnm._FilterDatabase" localSheetId="15" hidden="1">'False Ceiling'!$A$2:$J$17</definedName>
    <definedName name="_xlnm._FilterDatabase" localSheetId="12" hidden="1">'Plaza Painting'!$A$3:$J$210</definedName>
    <definedName name="_xlnm._FilterDatabase" localSheetId="10" hidden="1">'Work station and Storage. '!$A$3:$J$5</definedName>
    <definedName name="_xlnm.Print_Area" localSheetId="5">'Alum.Repairing (Build)'!$A$1:$J$56</definedName>
    <definedName name="_xlnm.Print_Area" localSheetId="9">'Booth Repairing'!$A$1:$J$8</definedName>
    <definedName name="_xlnm.Print_Area" localSheetId="0">'BOQ -Maigalganj'!$A$1:$G$93</definedName>
    <definedName name="_xlnm.Print_Area" localSheetId="8">'Door Repairing ACP'!$A$1:$J$34</definedName>
    <definedName name="_xlnm.Print_Area" localSheetId="20">'Elec-First Floor'!$H$2:$L$23</definedName>
    <definedName name="_xlnm.Print_Area" localSheetId="21">'Elec-Ground Floor'!$G$1:$K$27</definedName>
    <definedName name="_xlnm.Print_Area" localSheetId="1">'Misc.Repairing Items'!$A$1:$J$35</definedName>
    <definedName name="_xlnm.Print_Area" localSheetId="7">'New Doors'!$A$1:$J$14</definedName>
    <definedName name="_xlnm.Print_Area" localSheetId="16">NJB!$A$1:$V$5</definedName>
    <definedName name="_xlnm.Print_Area" localSheetId="12">'Plaza Painting'!$A$1:$J$210,'Plaza Painting'!$L$1:$U$114</definedName>
    <definedName name="_xlnm.Print_Area" localSheetId="2">'Toll Plaza Enam. Painting'!$A$1:$J$63</definedName>
    <definedName name="_xlnm.Print_Area" localSheetId="10">'Work station and Storage. '!$A$1:$J$14</definedName>
    <definedName name="_xlnm.Print_Titles" localSheetId="0">'BOQ -Maigalganj'!$2:$3</definedName>
    <definedName name="_xlnm.Print_Titles" localSheetId="2">'Toll Plaza Enam. Painting'!$2:$3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8" l="1"/>
  <c r="I12" i="18" s="1"/>
  <c r="I9" i="18"/>
  <c r="I20" i="18"/>
  <c r="I19" i="18"/>
  <c r="N4" i="17"/>
  <c r="F5" i="17" s="1"/>
  <c r="I5" i="17" s="1"/>
  <c r="D39" i="23" s="1"/>
  <c r="I14" i="15"/>
  <c r="D29" i="23" s="1"/>
  <c r="I11" i="15"/>
  <c r="I10" i="15"/>
  <c r="I9" i="15"/>
  <c r="I33" i="15"/>
  <c r="I32" i="15"/>
  <c r="I30" i="15"/>
  <c r="D91" i="23"/>
  <c r="D90" i="23"/>
  <c r="A101" i="35"/>
  <c r="A102" i="35" s="1"/>
  <c r="A103" i="35" s="1"/>
  <c r="A104" i="35" s="1"/>
  <c r="A94" i="35"/>
  <c r="A95" i="35"/>
  <c r="A96" i="35"/>
  <c r="A97" i="35"/>
  <c r="A98" i="35"/>
  <c r="A87" i="35"/>
  <c r="A88" i="35"/>
  <c r="A89" i="35"/>
  <c r="A90" i="35"/>
  <c r="A91" i="35"/>
  <c r="A75" i="35"/>
  <c r="A76" i="35"/>
  <c r="A77" i="35"/>
  <c r="A78" i="35"/>
  <c r="A79" i="35"/>
  <c r="A80" i="35"/>
  <c r="A81" i="35"/>
  <c r="A82" i="35"/>
  <c r="A83" i="35"/>
  <c r="A84" i="35"/>
  <c r="A62" i="35"/>
  <c r="A63" i="35"/>
  <c r="A64" i="35"/>
  <c r="A65" i="35"/>
  <c r="A66" i="35"/>
  <c r="A67" i="35"/>
  <c r="A68" i="35"/>
  <c r="A69" i="35"/>
  <c r="A70" i="35"/>
  <c r="A71" i="35"/>
  <c r="A72" i="35"/>
  <c r="A49" i="35"/>
  <c r="A50" i="35"/>
  <c r="A51" i="35"/>
  <c r="A52" i="35"/>
  <c r="A53" i="35"/>
  <c r="A54" i="35"/>
  <c r="A55" i="35"/>
  <c r="A56" i="35"/>
  <c r="A57" i="35"/>
  <c r="A58" i="35"/>
  <c r="A59" i="35"/>
  <c r="A32" i="35"/>
  <c r="A33" i="35" s="1"/>
  <c r="A34" i="35" s="1"/>
  <c r="A35" i="35" s="1"/>
  <c r="A36" i="35" s="1"/>
  <c r="A37" i="35" s="1"/>
  <c r="A38" i="35" s="1"/>
  <c r="A39" i="35" s="1"/>
  <c r="A40" i="35" s="1"/>
  <c r="A41" i="35" s="1"/>
  <c r="A42" i="35" s="1"/>
  <c r="A43" i="35" s="1"/>
  <c r="A44" i="35" s="1"/>
  <c r="A45" i="35" s="1"/>
  <c r="A46" i="35" s="1"/>
  <c r="L21" i="35"/>
  <c r="D89" i="23" s="1"/>
  <c r="L20" i="35"/>
  <c r="D88" i="23" s="1"/>
  <c r="L19" i="35"/>
  <c r="L18" i="35"/>
  <c r="A18" i="35"/>
  <c r="A19" i="35"/>
  <c r="A20" i="35"/>
  <c r="A21" i="35"/>
  <c r="A22" i="35"/>
  <c r="A23" i="35"/>
  <c r="A24" i="35"/>
  <c r="A25" i="35"/>
  <c r="A26" i="35"/>
  <c r="A27" i="35"/>
  <c r="A28" i="35"/>
  <c r="A29" i="35"/>
  <c r="K17" i="35"/>
  <c r="L17" i="35"/>
  <c r="L16" i="35"/>
  <c r="L15" i="35"/>
  <c r="L14" i="35"/>
  <c r="L13" i="35"/>
  <c r="L12" i="35"/>
  <c r="L11" i="35"/>
  <c r="L10" i="35"/>
  <c r="L9" i="35"/>
  <c r="L8" i="35"/>
  <c r="L7" i="35"/>
  <c r="L6" i="35"/>
  <c r="H5" i="35"/>
  <c r="H6" i="35"/>
  <c r="H7" i="35"/>
  <c r="H8" i="35"/>
  <c r="H9" i="35"/>
  <c r="H10" i="35"/>
  <c r="H11" i="35"/>
  <c r="H12" i="35"/>
  <c r="H13" i="35"/>
  <c r="H14" i="35"/>
  <c r="H15" i="35"/>
  <c r="H16" i="35"/>
  <c r="H17" i="35"/>
  <c r="H18" i="35"/>
  <c r="H19" i="35"/>
  <c r="A5" i="35"/>
  <c r="A6" i="35" s="1"/>
  <c r="A7" i="35" s="1"/>
  <c r="A8" i="35" s="1"/>
  <c r="A9" i="35" s="1"/>
  <c r="A10" i="35" s="1"/>
  <c r="A11" i="35" s="1"/>
  <c r="A12" i="35" s="1"/>
  <c r="A13" i="35" s="1"/>
  <c r="A14" i="35" s="1"/>
  <c r="A15" i="35" s="1"/>
  <c r="L4" i="35"/>
  <c r="A212" i="36"/>
  <c r="A213" i="36"/>
  <c r="A214" i="36"/>
  <c r="A215" i="36"/>
  <c r="A216" i="36"/>
  <c r="A217" i="36"/>
  <c r="A218" i="36"/>
  <c r="A219" i="36"/>
  <c r="A200" i="36"/>
  <c r="A201" i="36"/>
  <c r="A202" i="36"/>
  <c r="A203" i="36"/>
  <c r="A204" i="36"/>
  <c r="A205" i="36"/>
  <c r="A206" i="36"/>
  <c r="A207" i="36"/>
  <c r="A208" i="36"/>
  <c r="A209" i="36"/>
  <c r="A187" i="36"/>
  <c r="A188" i="36"/>
  <c r="A189" i="36"/>
  <c r="A190" i="36"/>
  <c r="A191" i="36"/>
  <c r="A192" i="36"/>
  <c r="A193" i="36"/>
  <c r="A194" i="36"/>
  <c r="A195" i="36"/>
  <c r="A196" i="36"/>
  <c r="A197" i="36"/>
  <c r="A175" i="36"/>
  <c r="A176" i="36"/>
  <c r="A177" i="36"/>
  <c r="A178" i="36"/>
  <c r="A179" i="36"/>
  <c r="A180" i="36"/>
  <c r="A181" i="36"/>
  <c r="A182" i="36"/>
  <c r="A183" i="36"/>
  <c r="A184" i="36"/>
  <c r="A165" i="36"/>
  <c r="A166" i="36"/>
  <c r="A167" i="36"/>
  <c r="A168" i="36"/>
  <c r="A169" i="36"/>
  <c r="A170" i="36"/>
  <c r="A171" i="36"/>
  <c r="A172" i="36"/>
  <c r="A152" i="36"/>
  <c r="A153" i="36"/>
  <c r="A154" i="36"/>
  <c r="A155" i="36"/>
  <c r="A156" i="36"/>
  <c r="A138" i="36"/>
  <c r="A139" i="36"/>
  <c r="A140" i="36"/>
  <c r="A141" i="36"/>
  <c r="A142" i="36"/>
  <c r="A143" i="36"/>
  <c r="A144" i="36"/>
  <c r="A145" i="36"/>
  <c r="A146" i="36"/>
  <c r="A147" i="36"/>
  <c r="A148" i="36"/>
  <c r="A125" i="36"/>
  <c r="A126" i="36"/>
  <c r="A127" i="36"/>
  <c r="A128" i="36"/>
  <c r="A129" i="36"/>
  <c r="A130" i="36"/>
  <c r="A131" i="36"/>
  <c r="A132" i="36"/>
  <c r="A133" i="36"/>
  <c r="A134" i="36"/>
  <c r="A135" i="36"/>
  <c r="A112" i="36"/>
  <c r="A113" i="36" s="1"/>
  <c r="A114" i="36" s="1"/>
  <c r="A115" i="36" s="1"/>
  <c r="A116" i="36" s="1"/>
  <c r="A117" i="36" s="1"/>
  <c r="A118" i="36" s="1"/>
  <c r="A119" i="36" s="1"/>
  <c r="A120" i="36" s="1"/>
  <c r="A121" i="36" s="1"/>
  <c r="A122" i="36" s="1"/>
  <c r="A107" i="36"/>
  <c r="A108" i="36"/>
  <c r="A109" i="36"/>
  <c r="A95" i="36"/>
  <c r="A96" i="36"/>
  <c r="A97" i="36"/>
  <c r="A98" i="36"/>
  <c r="A99" i="36"/>
  <c r="A81" i="36"/>
  <c r="A82" i="36"/>
  <c r="A83" i="36"/>
  <c r="A84" i="36"/>
  <c r="A85" i="36"/>
  <c r="A86" i="36"/>
  <c r="A87" i="36"/>
  <c r="A88" i="36"/>
  <c r="A89" i="36"/>
  <c r="A90" i="36"/>
  <c r="A91" i="36"/>
  <c r="A92" i="36"/>
  <c r="A72" i="36"/>
  <c r="A73" i="36"/>
  <c r="A74" i="36"/>
  <c r="A75" i="36"/>
  <c r="A76" i="36"/>
  <c r="A77" i="36"/>
  <c r="A78" i="36"/>
  <c r="A66" i="36"/>
  <c r="A67" i="36"/>
  <c r="A68" i="36"/>
  <c r="A69" i="36"/>
  <c r="A50" i="36"/>
  <c r="A51" i="36" s="1"/>
  <c r="A52" i="36" s="1"/>
  <c r="A53" i="36" s="1"/>
  <c r="A54" i="36" s="1"/>
  <c r="A55" i="36" s="1"/>
  <c r="A56" i="36" s="1"/>
  <c r="A57" i="36" s="1"/>
  <c r="A58" i="36" s="1"/>
  <c r="A59" i="36" s="1"/>
  <c r="A60" i="36" s="1"/>
  <c r="A61" i="36" s="1"/>
  <c r="A62" i="36" s="1"/>
  <c r="A63" i="36" s="1"/>
  <c r="A38" i="36"/>
  <c r="A39" i="36"/>
  <c r="A40" i="36"/>
  <c r="A41" i="36"/>
  <c r="A42" i="36"/>
  <c r="A43" i="36"/>
  <c r="A44" i="36"/>
  <c r="A45" i="36"/>
  <c r="A46" i="36"/>
  <c r="A47" i="36"/>
  <c r="A36" i="36"/>
  <c r="A37" i="36"/>
  <c r="J27" i="36"/>
  <c r="K27" i="36"/>
  <c r="D80" i="23"/>
  <c r="K26" i="36"/>
  <c r="K24" i="36"/>
  <c r="D79" i="23"/>
  <c r="K23" i="36"/>
  <c r="K22" i="36"/>
  <c r="A22" i="36"/>
  <c r="A23" i="36"/>
  <c r="A24" i="36"/>
  <c r="A25" i="36"/>
  <c r="A26" i="36"/>
  <c r="A27" i="36"/>
  <c r="A28" i="36"/>
  <c r="A29" i="36"/>
  <c r="A30" i="36"/>
  <c r="A31" i="36"/>
  <c r="A32" i="36"/>
  <c r="A33" i="36"/>
  <c r="K21" i="36"/>
  <c r="K20" i="36"/>
  <c r="K19" i="36"/>
  <c r="D84" i="23"/>
  <c r="J18" i="36"/>
  <c r="K18" i="36"/>
  <c r="D83" i="23"/>
  <c r="J17" i="36"/>
  <c r="K17" i="36"/>
  <c r="D82" i="23"/>
  <c r="K16" i="36"/>
  <c r="D75" i="23"/>
  <c r="K15" i="36"/>
  <c r="D86" i="23"/>
  <c r="K14" i="36"/>
  <c r="D74" i="23"/>
  <c r="K13" i="36"/>
  <c r="K12" i="36"/>
  <c r="D72" i="23"/>
  <c r="K11" i="36"/>
  <c r="D73" i="23"/>
  <c r="K10" i="36"/>
  <c r="D70" i="23"/>
  <c r="K9" i="36"/>
  <c r="D71" i="23"/>
  <c r="K8" i="36"/>
  <c r="D69" i="23"/>
  <c r="K7" i="36"/>
  <c r="D68" i="23"/>
  <c r="K6" i="36"/>
  <c r="D67" i="23"/>
  <c r="K5" i="36"/>
  <c r="D66" i="23"/>
  <c r="G4" i="36"/>
  <c r="G5" i="36"/>
  <c r="G6" i="36"/>
  <c r="G7" i="36"/>
  <c r="G8" i="36"/>
  <c r="G9" i="36"/>
  <c r="G10" i="36"/>
  <c r="G11" i="36"/>
  <c r="G12" i="36"/>
  <c r="G13" i="36"/>
  <c r="G14" i="36"/>
  <c r="G15" i="36"/>
  <c r="G16" i="36"/>
  <c r="G17" i="36"/>
  <c r="G18" i="36"/>
  <c r="G19" i="36"/>
  <c r="G20" i="36"/>
  <c r="G21" i="36"/>
  <c r="G22" i="36"/>
  <c r="G23" i="36"/>
  <c r="G24" i="36"/>
  <c r="G25" i="36"/>
  <c r="G26" i="36"/>
  <c r="G27" i="36"/>
  <c r="A4" i="36"/>
  <c r="A5" i="36"/>
  <c r="A6" i="36"/>
  <c r="A7" i="36"/>
  <c r="A8" i="36"/>
  <c r="A9" i="36"/>
  <c r="A10" i="36"/>
  <c r="A11" i="36"/>
  <c r="A12" i="36"/>
  <c r="A13" i="36"/>
  <c r="A14" i="36"/>
  <c r="A15" i="36"/>
  <c r="A16" i="36"/>
  <c r="A17" i="36"/>
  <c r="K3" i="36"/>
  <c r="D87" i="23"/>
  <c r="D85" i="23"/>
  <c r="D65" i="23"/>
  <c r="A18" i="36"/>
  <c r="A19" i="36"/>
  <c r="I15" i="33"/>
  <c r="I14" i="33"/>
  <c r="D61" i="23" s="1"/>
  <c r="I13" i="33"/>
  <c r="D59" i="23" s="1"/>
  <c r="I12" i="33"/>
  <c r="D58" i="23" s="1"/>
  <c r="I11" i="33"/>
  <c r="D57" i="23" s="1"/>
  <c r="I10" i="33"/>
  <c r="D56" i="23" s="1"/>
  <c r="I9" i="33"/>
  <c r="D55" i="23" s="1"/>
  <c r="I8" i="33"/>
  <c r="D54" i="23" s="1"/>
  <c r="I7" i="33"/>
  <c r="D53" i="23" s="1"/>
  <c r="I6" i="33"/>
  <c r="D52" i="23" s="1"/>
  <c r="I5" i="33"/>
  <c r="D51" i="23" s="1"/>
  <c r="I4" i="33"/>
  <c r="D50" i="23" s="1"/>
  <c r="D24" i="23"/>
  <c r="A20" i="23"/>
  <c r="A17" i="23"/>
  <c r="E14" i="26"/>
  <c r="K5" i="30"/>
  <c r="K6" i="30"/>
  <c r="K7" i="30"/>
  <c r="K8" i="30"/>
  <c r="K9" i="30"/>
  <c r="K10" i="30"/>
  <c r="K11" i="30"/>
  <c r="K12" i="30"/>
  <c r="K13" i="30"/>
  <c r="K14" i="30"/>
  <c r="K15" i="30"/>
  <c r="K16" i="30"/>
  <c r="K17" i="30"/>
  <c r="K18" i="30"/>
  <c r="K19" i="30"/>
  <c r="K20" i="30"/>
  <c r="K21" i="30"/>
  <c r="K22" i="30"/>
  <c r="K23" i="30"/>
  <c r="K24" i="30"/>
  <c r="K25" i="30"/>
  <c r="K26" i="30"/>
  <c r="K27" i="30"/>
  <c r="K28" i="30"/>
  <c r="K29" i="30"/>
  <c r="K30" i="30"/>
  <c r="K31" i="30"/>
  <c r="K32" i="30"/>
  <c r="K33" i="30"/>
  <c r="K4" i="30"/>
  <c r="K34" i="30" s="1"/>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4" i="30"/>
  <c r="I34" i="30" s="1"/>
  <c r="K13" i="26"/>
  <c r="K12" i="26"/>
  <c r="K11" i="26"/>
  <c r="K10" i="26"/>
  <c r="K9" i="26"/>
  <c r="K8" i="26"/>
  <c r="K7" i="26"/>
  <c r="K6" i="26"/>
  <c r="K5" i="26"/>
  <c r="K14" i="26"/>
  <c r="I29" i="15"/>
  <c r="D34" i="23"/>
  <c r="I55" i="5"/>
  <c r="I54" i="5"/>
  <c r="I52" i="5"/>
  <c r="I51" i="5"/>
  <c r="I50" i="5"/>
  <c r="I48" i="5"/>
  <c r="I46" i="5"/>
  <c r="I45" i="5"/>
  <c r="I44" i="5"/>
  <c r="I43" i="5"/>
  <c r="I41" i="5"/>
  <c r="I39" i="5"/>
  <c r="I38" i="5"/>
  <c r="I36" i="5"/>
  <c r="I34" i="5"/>
  <c r="I33" i="5"/>
  <c r="I32" i="5"/>
  <c r="I30" i="5"/>
  <c r="I28" i="5"/>
  <c r="I27" i="5"/>
  <c r="I25" i="5"/>
  <c r="I23" i="5"/>
  <c r="I21" i="5"/>
  <c r="I18" i="5"/>
  <c r="I16" i="5"/>
  <c r="I14" i="5"/>
  <c r="I13" i="5"/>
  <c r="I12" i="5"/>
  <c r="I10" i="5"/>
  <c r="I8" i="5"/>
  <c r="I6" i="5"/>
  <c r="E19" i="6"/>
  <c r="I5" i="22"/>
  <c r="I13" i="22"/>
  <c r="N21" i="15"/>
  <c r="N20" i="15"/>
  <c r="N19" i="15"/>
  <c r="I28" i="15"/>
  <c r="D33" i="23"/>
  <c r="I4" i="17"/>
  <c r="D38" i="23"/>
  <c r="T31" i="2"/>
  <c r="T28" i="2"/>
  <c r="T29" i="2"/>
  <c r="T30" i="2"/>
  <c r="T32" i="2"/>
  <c r="T33" i="2"/>
  <c r="T34" i="2"/>
  <c r="T15" i="2"/>
  <c r="T16" i="2"/>
  <c r="T17" i="2"/>
  <c r="T18" i="2"/>
  <c r="T19" i="2"/>
  <c r="T20" i="2"/>
  <c r="T21" i="2"/>
  <c r="T22" i="2"/>
  <c r="T23" i="2"/>
  <c r="T24" i="2"/>
  <c r="T25" i="2"/>
  <c r="T26" i="2"/>
  <c r="T27" i="2"/>
  <c r="Q7" i="2"/>
  <c r="T7" i="2"/>
  <c r="M15" i="8"/>
  <c r="Q15" i="8"/>
  <c r="Q14" i="8"/>
  <c r="Q5" i="8"/>
  <c r="Q6" i="8"/>
  <c r="Q7" i="8"/>
  <c r="I31" i="27"/>
  <c r="I29" i="27"/>
  <c r="I27" i="27"/>
  <c r="I25" i="27"/>
  <c r="I23" i="27"/>
  <c r="I21" i="27"/>
  <c r="I10" i="27"/>
  <c r="H50" i="10"/>
  <c r="I50" i="10"/>
  <c r="H49" i="10"/>
  <c r="I49" i="10"/>
  <c r="H51" i="10"/>
  <c r="I51" i="10"/>
  <c r="I46" i="10"/>
  <c r="I45" i="10"/>
  <c r="I11" i="21"/>
  <c r="I62" i="2"/>
  <c r="F58" i="2"/>
  <c r="I58" i="2"/>
  <c r="I61" i="2"/>
  <c r="I65" i="2"/>
  <c r="I66" i="2"/>
  <c r="I50" i="2"/>
  <c r="I49" i="2"/>
  <c r="I43" i="2"/>
  <c r="I42" i="2"/>
  <c r="I41" i="2"/>
  <c r="I40" i="2"/>
  <c r="I39" i="2"/>
  <c r="I26" i="2"/>
  <c r="I25" i="2"/>
  <c r="F24" i="2"/>
  <c r="I24" i="2"/>
  <c r="I10" i="2"/>
  <c r="I8" i="2"/>
  <c r="I136" i="2"/>
  <c r="I135" i="2"/>
  <c r="H134" i="2"/>
  <c r="I134" i="2"/>
  <c r="H133" i="2"/>
  <c r="I133" i="2"/>
  <c r="I130" i="2"/>
  <c r="I129" i="2"/>
  <c r="F128" i="2"/>
  <c r="I128" i="2"/>
  <c r="I127" i="2"/>
  <c r="I124" i="2"/>
  <c r="I123" i="2"/>
  <c r="I122" i="2"/>
  <c r="I121" i="2"/>
  <c r="F92" i="2"/>
  <c r="I92" i="2"/>
  <c r="F88" i="2"/>
  <c r="F91" i="2"/>
  <c r="T75" i="2"/>
  <c r="E177" i="2"/>
  <c r="I177" i="2"/>
  <c r="E176" i="2"/>
  <c r="I176" i="2"/>
  <c r="E175" i="2"/>
  <c r="I175" i="2"/>
  <c r="I184" i="2"/>
  <c r="I183" i="2"/>
  <c r="T74" i="2"/>
  <c r="I170" i="2"/>
  <c r="I169" i="2"/>
  <c r="T59" i="2"/>
  <c r="T60" i="2"/>
  <c r="I151" i="2"/>
  <c r="T54" i="2"/>
  <c r="T53" i="2"/>
  <c r="T52" i="2"/>
  <c r="I148" i="2"/>
  <c r="I147" i="2"/>
  <c r="P48" i="2"/>
  <c r="T48" i="2"/>
  <c r="T110" i="2"/>
  <c r="T112" i="2"/>
  <c r="T113" i="2"/>
  <c r="F33" i="10"/>
  <c r="I33" i="10"/>
  <c r="D22" i="23"/>
  <c r="E26" i="10"/>
  <c r="E25" i="10"/>
  <c r="I25" i="10"/>
  <c r="F31" i="10"/>
  <c r="I31" i="10"/>
  <c r="F30" i="10"/>
  <c r="I30" i="10"/>
  <c r="H19" i="10"/>
  <c r="I19" i="10"/>
  <c r="T39" i="2"/>
  <c r="D18" i="31"/>
  <c r="H18" i="31"/>
  <c r="D17" i="31"/>
  <c r="H17" i="31"/>
  <c r="H16" i="31"/>
  <c r="D15" i="31"/>
  <c r="H15" i="31"/>
  <c r="D13" i="31"/>
  <c r="H13" i="31"/>
  <c r="D11" i="31"/>
  <c r="H11" i="31"/>
  <c r="D10" i="31"/>
  <c r="H10" i="31"/>
  <c r="F7" i="31"/>
  <c r="E7" i="31"/>
  <c r="H7" i="31"/>
  <c r="D6" i="31"/>
  <c r="H6" i="31"/>
  <c r="F5" i="31"/>
  <c r="D5" i="31"/>
  <c r="H5" i="31"/>
  <c r="H8" i="31" s="1"/>
  <c r="I9" i="14"/>
  <c r="I9" i="2"/>
  <c r="I15" i="2"/>
  <c r="I16" i="2"/>
  <c r="I21" i="2"/>
  <c r="I27" i="2"/>
  <c r="I28" i="2"/>
  <c r="I29" i="2"/>
  <c r="I30" i="2"/>
  <c r="I37" i="2"/>
  <c r="I52" i="2"/>
  <c r="I79" i="2"/>
  <c r="I85" i="2"/>
  <c r="I94" i="2"/>
  <c r="I101" i="2"/>
  <c r="I107" i="2"/>
  <c r="I114" i="2"/>
  <c r="I119" i="2"/>
  <c r="I142" i="2"/>
  <c r="I161" i="2"/>
  <c r="I182" i="2"/>
  <c r="F21" i="21"/>
  <c r="I21" i="21"/>
  <c r="F22" i="21"/>
  <c r="I22" i="21"/>
  <c r="I23" i="21" s="1"/>
  <c r="D48" i="23" s="1"/>
  <c r="N64" i="10"/>
  <c r="N63" i="10"/>
  <c r="Q62" i="10"/>
  <c r="N62" i="10"/>
  <c r="I61" i="10"/>
  <c r="I209" i="2"/>
  <c r="I208" i="2"/>
  <c r="D11" i="23"/>
  <c r="I48" i="10"/>
  <c r="I47" i="10"/>
  <c r="I44" i="10"/>
  <c r="I58" i="10"/>
  <c r="I57" i="10"/>
  <c r="I56" i="10"/>
  <c r="I55" i="10"/>
  <c r="I54" i="10"/>
  <c r="E174" i="2"/>
  <c r="I174" i="2"/>
  <c r="E173" i="2"/>
  <c r="I173" i="2"/>
  <c r="E172" i="2"/>
  <c r="I172" i="2"/>
  <c r="E13" i="10"/>
  <c r="I13" i="10"/>
  <c r="E11" i="10"/>
  <c r="I11" i="10"/>
  <c r="E10" i="10"/>
  <c r="I10" i="10"/>
  <c r="E9" i="10"/>
  <c r="I9" i="10"/>
  <c r="E8" i="10"/>
  <c r="I8" i="10"/>
  <c r="E7" i="10"/>
  <c r="I7" i="10"/>
  <c r="E6" i="10"/>
  <c r="I6" i="10"/>
  <c r="F26" i="10"/>
  <c r="I24" i="10"/>
  <c r="I20" i="10"/>
  <c r="P84" i="2"/>
  <c r="T84" i="2"/>
  <c r="P83" i="2"/>
  <c r="T83" i="2"/>
  <c r="P82" i="2"/>
  <c r="T82" i="2"/>
  <c r="P81" i="2"/>
  <c r="T81" i="2"/>
  <c r="P80" i="2"/>
  <c r="T80" i="2"/>
  <c r="P79" i="2"/>
  <c r="T79" i="2"/>
  <c r="P78" i="2"/>
  <c r="T78" i="2"/>
  <c r="P77" i="2"/>
  <c r="T77" i="2"/>
  <c r="I17" i="27"/>
  <c r="I15" i="27"/>
  <c r="I13" i="27"/>
  <c r="I11" i="27"/>
  <c r="I8" i="27"/>
  <c r="I6" i="27"/>
  <c r="I32" i="27" s="1"/>
  <c r="I18" i="21"/>
  <c r="I17" i="21"/>
  <c r="I16" i="21"/>
  <c r="I15" i="21"/>
  <c r="I10" i="21"/>
  <c r="I12" i="21" s="1"/>
  <c r="D47" i="23" s="1"/>
  <c r="U5" i="29"/>
  <c r="V5" i="29"/>
  <c r="U4" i="29"/>
  <c r="V4" i="29"/>
  <c r="U3" i="29"/>
  <c r="V3" i="29"/>
  <c r="G4" i="29"/>
  <c r="I4" i="29"/>
  <c r="I13" i="26"/>
  <c r="I12" i="26"/>
  <c r="I11" i="26"/>
  <c r="I10" i="26"/>
  <c r="I9" i="26"/>
  <c r="I8" i="26"/>
  <c r="I7" i="26"/>
  <c r="I6" i="26"/>
  <c r="I5" i="26"/>
  <c r="I14" i="26" s="1"/>
  <c r="D9" i="23" s="1"/>
  <c r="I6" i="6"/>
  <c r="I7" i="6"/>
  <c r="I8" i="6"/>
  <c r="I9" i="6"/>
  <c r="I11" i="6"/>
  <c r="I12" i="6"/>
  <c r="I13" i="6"/>
  <c r="I14" i="6"/>
  <c r="I15" i="6"/>
  <c r="I16" i="6"/>
  <c r="I17" i="6"/>
  <c r="I18" i="6"/>
  <c r="I5" i="6"/>
  <c r="I19" i="6" s="1"/>
  <c r="D12" i="23" s="1"/>
  <c r="Q20" i="8"/>
  <c r="Q19" i="8"/>
  <c r="Q21" i="8"/>
  <c r="Q17" i="8"/>
  <c r="Q16" i="8"/>
  <c r="Q18" i="8"/>
  <c r="Q10" i="8"/>
  <c r="Q9" i="8"/>
  <c r="Q4" i="8"/>
  <c r="Q8" i="8"/>
  <c r="S9" i="8"/>
  <c r="I6" i="8"/>
  <c r="Q3" i="8"/>
  <c r="I14" i="22"/>
  <c r="I10" i="22"/>
  <c r="I9" i="22"/>
  <c r="I11" i="22"/>
  <c r="I6" i="22"/>
  <c r="I7" i="22"/>
  <c r="M5" i="22"/>
  <c r="I6" i="11"/>
  <c r="I6" i="21"/>
  <c r="I5" i="21"/>
  <c r="I7" i="21"/>
  <c r="D45" i="23"/>
  <c r="I5" i="20"/>
  <c r="I16" i="18"/>
  <c r="I17" i="18"/>
  <c r="I18" i="18"/>
  <c r="I15" i="18"/>
  <c r="I21" i="18" s="1"/>
  <c r="D43" i="23" s="1"/>
  <c r="I7" i="18"/>
  <c r="I8" i="18" s="1"/>
  <c r="D27" i="23"/>
  <c r="I11" i="18"/>
  <c r="I5" i="18"/>
  <c r="I6" i="18"/>
  <c r="I7" i="17"/>
  <c r="D41" i="23"/>
  <c r="I6" i="17"/>
  <c r="D40" i="23"/>
  <c r="I9" i="11"/>
  <c r="E23" i="15"/>
  <c r="I23" i="15"/>
  <c r="D32" i="23"/>
  <c r="I18" i="15"/>
  <c r="I206" i="2"/>
  <c r="E204" i="2"/>
  <c r="I204" i="2"/>
  <c r="T14" i="2"/>
  <c r="T13" i="2"/>
  <c r="T12" i="2"/>
  <c r="T11" i="2"/>
  <c r="T10" i="2"/>
  <c r="T9" i="2"/>
  <c r="T8" i="2"/>
  <c r="I71" i="2"/>
  <c r="I70" i="2"/>
  <c r="I69" i="2"/>
  <c r="I64" i="2"/>
  <c r="I60" i="2"/>
  <c r="I59" i="2"/>
  <c r="I56" i="2"/>
  <c r="I55" i="2"/>
  <c r="I54" i="2"/>
  <c r="I20" i="2"/>
  <c r="I19" i="2"/>
  <c r="I22" i="2"/>
  <c r="I14" i="2"/>
  <c r="I18" i="2"/>
  <c r="I22" i="15"/>
  <c r="I21" i="15"/>
  <c r="I202" i="2"/>
  <c r="E199" i="2"/>
  <c r="I199" i="2"/>
  <c r="E201" i="2"/>
  <c r="I201" i="2"/>
  <c r="E200" i="2"/>
  <c r="I200" i="2"/>
  <c r="F198" i="2"/>
  <c r="E198" i="2"/>
  <c r="I198" i="2" s="1"/>
  <c r="E197" i="2"/>
  <c r="I197" i="2"/>
  <c r="E196" i="2"/>
  <c r="F196" i="2"/>
  <c r="I196" i="2" s="1"/>
  <c r="E195" i="2"/>
  <c r="F195" i="2"/>
  <c r="E194" i="2"/>
  <c r="I194" i="2"/>
  <c r="E192" i="2"/>
  <c r="I192" i="2"/>
  <c r="E191" i="2"/>
  <c r="I191" i="2"/>
  <c r="E190" i="2"/>
  <c r="I190" i="2"/>
  <c r="E189" i="2"/>
  <c r="I189" i="2"/>
  <c r="E188" i="2"/>
  <c r="I188" i="2"/>
  <c r="F186" i="2"/>
  <c r="E193" i="2"/>
  <c r="I193" i="2"/>
  <c r="E187" i="2"/>
  <c r="I187" i="2"/>
  <c r="E186" i="2"/>
  <c r="I186" i="2"/>
  <c r="P108" i="2"/>
  <c r="T108" i="2"/>
  <c r="P107" i="2"/>
  <c r="T107" i="2"/>
  <c r="P106" i="2"/>
  <c r="T106" i="2"/>
  <c r="P105" i="2"/>
  <c r="T105" i="2"/>
  <c r="P104" i="2"/>
  <c r="T104" i="2"/>
  <c r="P103" i="2"/>
  <c r="T103" i="2"/>
  <c r="P102" i="2"/>
  <c r="T102" i="2"/>
  <c r="P101" i="2"/>
  <c r="T101" i="2"/>
  <c r="P100" i="2"/>
  <c r="T100" i="2"/>
  <c r="P99" i="2"/>
  <c r="T99" i="2"/>
  <c r="P98" i="2"/>
  <c r="T98" i="2"/>
  <c r="P97" i="2"/>
  <c r="T97" i="2"/>
  <c r="P96" i="2"/>
  <c r="T96" i="2"/>
  <c r="P95" i="2"/>
  <c r="T95" i="2"/>
  <c r="P94" i="2"/>
  <c r="T94" i="2"/>
  <c r="P93" i="2"/>
  <c r="T93" i="2"/>
  <c r="T91" i="2"/>
  <c r="T90" i="2"/>
  <c r="T89" i="2"/>
  <c r="T88" i="2"/>
  <c r="T87" i="2"/>
  <c r="T86" i="2"/>
  <c r="I181" i="2"/>
  <c r="I180" i="2"/>
  <c r="I179" i="2"/>
  <c r="I17" i="15"/>
  <c r="I19" i="15"/>
  <c r="D26" i="23"/>
  <c r="I16" i="10"/>
  <c r="I15" i="10"/>
  <c r="I41" i="10"/>
  <c r="I40" i="10"/>
  <c r="I39" i="10"/>
  <c r="I38" i="10"/>
  <c r="I37" i="10"/>
  <c r="I36" i="10"/>
  <c r="I5" i="15"/>
  <c r="I6" i="15"/>
  <c r="I168" i="2"/>
  <c r="I167" i="2"/>
  <c r="I166" i="2"/>
  <c r="I164" i="2"/>
  <c r="I163" i="2"/>
  <c r="I162" i="2"/>
  <c r="I160" i="2"/>
  <c r="I159" i="2"/>
  <c r="I158" i="2"/>
  <c r="I157" i="2"/>
  <c r="T62" i="2"/>
  <c r="T61" i="2"/>
  <c r="T58" i="2"/>
  <c r="T57" i="2"/>
  <c r="T56" i="2"/>
  <c r="T73" i="2"/>
  <c r="T72" i="2"/>
  <c r="T68" i="2"/>
  <c r="T66" i="2"/>
  <c r="T71" i="2"/>
  <c r="T67" i="2"/>
  <c r="T70" i="2"/>
  <c r="T69" i="2"/>
  <c r="T65" i="2"/>
  <c r="T64" i="2"/>
  <c r="T51" i="2"/>
  <c r="T50" i="2"/>
  <c r="I155" i="2"/>
  <c r="I154" i="2"/>
  <c r="I153" i="2"/>
  <c r="I152" i="2"/>
  <c r="I146" i="2"/>
  <c r="T47" i="2"/>
  <c r="T38" i="2"/>
  <c r="I145" i="2"/>
  <c r="I144" i="2"/>
  <c r="T46" i="2"/>
  <c r="T45" i="2"/>
  <c r="T44" i="2"/>
  <c r="T43" i="2"/>
  <c r="I140" i="2"/>
  <c r="I141" i="2"/>
  <c r="I139" i="2"/>
  <c r="I138" i="2"/>
  <c r="T41" i="2"/>
  <c r="I17" i="10"/>
  <c r="I14" i="10"/>
  <c r="F6" i="3"/>
  <c r="I6" i="3"/>
  <c r="I8" i="11"/>
  <c r="I7" i="11"/>
  <c r="I5" i="11"/>
  <c r="I7" i="14"/>
  <c r="I8" i="14"/>
  <c r="I5" i="14"/>
  <c r="I4" i="14"/>
  <c r="I22" i="10"/>
  <c r="I21" i="10"/>
  <c r="I126" i="2"/>
  <c r="I120" i="2"/>
  <c r="I118" i="2"/>
  <c r="I117" i="2"/>
  <c r="I116" i="2"/>
  <c r="I115" i="2"/>
  <c r="I106" i="2"/>
  <c r="I105" i="2"/>
  <c r="I104" i="2"/>
  <c r="I103" i="2"/>
  <c r="I100" i="2"/>
  <c r="I99" i="2"/>
  <c r="I98" i="2"/>
  <c r="I97" i="2"/>
  <c r="I96" i="2"/>
  <c r="I113" i="2"/>
  <c r="I112" i="2"/>
  <c r="I111" i="2"/>
  <c r="I110" i="2"/>
  <c r="I109" i="2"/>
  <c r="I91" i="2"/>
  <c r="I90" i="2"/>
  <c r="I89" i="2"/>
  <c r="I88" i="2"/>
  <c r="I77" i="2"/>
  <c r="I75" i="2"/>
  <c r="I8" i="3"/>
  <c r="I9" i="3" s="1"/>
  <c r="D6" i="23" s="1"/>
  <c r="T40" i="2"/>
  <c r="T37" i="2"/>
  <c r="T36" i="2"/>
  <c r="T6" i="2"/>
  <c r="T5" i="2"/>
  <c r="I131" i="2"/>
  <c r="I125" i="2"/>
  <c r="I108" i="2"/>
  <c r="I93" i="2"/>
  <c r="I87" i="2"/>
  <c r="I84" i="2"/>
  <c r="I83" i="2"/>
  <c r="I82" i="2"/>
  <c r="I81" i="2"/>
  <c r="I78" i="2"/>
  <c r="I76" i="2"/>
  <c r="I51" i="2"/>
  <c r="I48" i="2"/>
  <c r="I47" i="2"/>
  <c r="I46" i="2"/>
  <c r="I45" i="2"/>
  <c r="I44" i="2"/>
  <c r="I36" i="2"/>
  <c r="I35" i="2"/>
  <c r="I34" i="2"/>
  <c r="I33" i="2"/>
  <c r="I23" i="2"/>
  <c r="I13" i="2"/>
  <c r="I12" i="2"/>
  <c r="I11" i="2"/>
  <c r="I7" i="2"/>
  <c r="I6" i="2"/>
  <c r="I195" i="2"/>
  <c r="Q11" i="8"/>
  <c r="S10" i="8"/>
  <c r="I7" i="8"/>
  <c r="I19" i="21"/>
  <c r="D46" i="23"/>
  <c r="I210" i="2"/>
  <c r="D17" i="23" s="1"/>
  <c r="V6" i="29"/>
  <c r="I5" i="29"/>
  <c r="T114" i="2"/>
  <c r="D18" i="23"/>
  <c r="I56" i="5"/>
  <c r="D8" i="23"/>
  <c r="N66" i="10"/>
  <c r="I62" i="10"/>
  <c r="I63" i="10"/>
  <c r="I26" i="10"/>
  <c r="I42" i="10"/>
  <c r="I23" i="10"/>
  <c r="I27" i="10"/>
  <c r="I59" i="10"/>
  <c r="D21" i="23"/>
  <c r="I52" i="10"/>
  <c r="I60" i="10" s="1"/>
  <c r="D20" i="23" s="1"/>
  <c r="I18" i="10"/>
  <c r="I12" i="10"/>
  <c r="I28" i="10"/>
  <c r="D19" i="23"/>
  <c r="D28" i="23"/>
  <c r="N22" i="15"/>
  <c r="F27" i="15"/>
  <c r="I27" i="15"/>
  <c r="D31" i="23"/>
  <c r="I13" i="18"/>
  <c r="D36" i="23" s="1"/>
  <c r="D25" i="23" l="1"/>
  <c r="D35" i="23"/>
  <c r="D14" i="23"/>
  <c r="D15" i="23"/>
  <c r="D10" i="23"/>
</calcChain>
</file>

<file path=xl/sharedStrings.xml><?xml version="1.0" encoding="utf-8"?>
<sst xmlns="http://schemas.openxmlformats.org/spreadsheetml/2006/main" count="2973" uniqueCount="661">
  <si>
    <t xml:space="preserve">Sitapur -Bareilly NH-30 PROJECT </t>
  </si>
  <si>
    <t>BILL OF QUANTITIES(BOQ) - Maigalganj Toll Plaza Renovation</t>
  </si>
  <si>
    <t>S.No</t>
  </si>
  <si>
    <t xml:space="preserve">Description of work </t>
  </si>
  <si>
    <t xml:space="preserve">Unit </t>
  </si>
  <si>
    <t xml:space="preserve">Quantity </t>
  </si>
  <si>
    <t>Rate</t>
  </si>
  <si>
    <t>Amount 
(Rs.)</t>
  </si>
  <si>
    <t xml:space="preserve">Remarks </t>
  </si>
  <si>
    <t>ADMIN BUILDING:</t>
  </si>
  <si>
    <t>i</t>
  </si>
  <si>
    <t>Partition Wall</t>
  </si>
  <si>
    <r>
      <t>This item includes the</t>
    </r>
    <r>
      <rPr>
        <b/>
        <u/>
        <sz val="10"/>
        <color indexed="8"/>
        <rFont val="Poppins"/>
      </rPr>
      <t xml:space="preserve"> supply, fabrication, and installation of Heavy duty aluminum (100mmx 50mmx 3mm) Partion Wall</t>
    </r>
    <r>
      <rPr>
        <sz val="10"/>
        <color indexed="8"/>
        <rFont val="Poppins"/>
      </rPr>
      <t xml:space="preserve"> 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6mm thick float glass panelling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 All work complete in all respect. Fabrication shall begin only after approval of shop drawings by the Engineer-in-Charge. Measurement and Payment will be based on Sqm Basis</t>
    </r>
  </si>
  <si>
    <t>Sqm</t>
  </si>
  <si>
    <t>Aluminium partition</t>
  </si>
  <si>
    <t>OK</t>
  </si>
  <si>
    <t>ii</t>
  </si>
  <si>
    <t>Doors and Windows</t>
  </si>
  <si>
    <r>
      <rPr>
        <b/>
        <u/>
        <sz val="10"/>
        <color indexed="8"/>
        <rFont val="Poppins"/>
      </rPr>
      <t>Repairing, Replacement of Existing aluminum doors, windows, and ventilators aluminum</t>
    </r>
    <r>
      <rPr>
        <sz val="10"/>
        <color indexed="8"/>
        <rFont val="Poppins"/>
      </rPr>
      <t xml:space="preserve"> section. Replacement of aluminum section shall be matched with existing existing aluminum section. The work shall be including of removal of exsting damed alumunim section, fixing of new aluminum section, replacement of existing EPDM rubber, replacement of damaged cleat angles, aluminum beading, hinges, tower bolts, window locks, handles if any required shall be including in the rate.
Payment will be based on the sqm, sqm shall be calcuated in opening portion of Doors and windows. </t>
    </r>
  </si>
  <si>
    <t>Repair of Door &amp; Window</t>
  </si>
  <si>
    <r>
      <t xml:space="preserve">This item includes the </t>
    </r>
    <r>
      <rPr>
        <b/>
        <u/>
        <sz val="10"/>
        <color indexed="8"/>
        <rFont val="Poppins"/>
      </rPr>
      <t>supply, fabrication, and installation of Heavy duty aluminum</t>
    </r>
    <r>
      <rPr>
        <sz val="10"/>
        <color indexed="8"/>
        <rFont val="Poppins"/>
      </rPr>
      <t xml:space="preserve"> (100mmx 50mmx 3mm) </t>
    </r>
    <r>
      <rPr>
        <b/>
        <u/>
        <sz val="10"/>
        <color indexed="8"/>
        <rFont val="Poppins"/>
      </rPr>
      <t xml:space="preserve">aluminum doors, windows, and ventilators, </t>
    </r>
    <r>
      <rPr>
        <sz val="10"/>
        <color indexed="8"/>
        <rFont val="Poppins"/>
      </rPr>
      <t xml:space="preserve">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t>
    </r>
    <r>
      <rPr>
        <b/>
        <u/>
        <sz val="10"/>
        <color indexed="8"/>
        <rFont val="Poppins"/>
      </rPr>
      <t>6mm thick float glass panelling</t>
    </r>
    <r>
      <rPr>
        <sz val="10"/>
        <color indexed="8"/>
        <rFont val="Poppins"/>
      </rPr>
      <t xml:space="preserve">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rate.This item also covers the r</t>
    </r>
    <r>
      <rPr>
        <b/>
        <u/>
        <sz val="10"/>
        <color indexed="8"/>
        <rFont val="Poppins"/>
      </rPr>
      <t>eplacement of damaged aluminum doors, windows, and ventilators,</t>
    </r>
    <r>
      <rPr>
        <sz val="10"/>
        <color indexed="8"/>
        <rFont val="Poppins"/>
      </rPr>
      <t xml:space="preserve"> with no extra payment for dismantling or stacking materials within the premises. All work complete in all respect. Fabrication shall begin only after approval of shop drawings by the E</t>
    </r>
    <r>
      <rPr>
        <sz val="11"/>
        <color indexed="8"/>
        <rFont val="Poppins"/>
      </rPr>
      <t>ngi</t>
    </r>
    <r>
      <rPr>
        <sz val="10"/>
        <color indexed="8"/>
        <rFont val="Poppins"/>
      </rPr>
      <t>neer-in-Charge. Measurement and Payment will be based on Sqm Basis</t>
    </r>
  </si>
  <si>
    <t>New Door</t>
  </si>
  <si>
    <r>
      <t xml:space="preserve">Supply and fixing the </t>
    </r>
    <r>
      <rPr>
        <b/>
        <u/>
        <sz val="10"/>
        <color indexed="8"/>
        <rFont val="Poppins"/>
      </rPr>
      <t>granite stone of approved shade for jambs/cills of doors &amp; windows of the builin</t>
    </r>
    <r>
      <rPr>
        <b/>
        <sz val="10"/>
        <color indexed="8"/>
        <rFont val="Poppins"/>
      </rPr>
      <t>g</t>
    </r>
    <r>
      <rPr>
        <sz val="10"/>
        <color indexed="8"/>
        <rFont val="Poppins"/>
      </rPr>
      <t>(location specified  herein below),complete in all respects with finishing work, as per the direction of the engineer in charge.
Specifications:
- Material: 18mm thick granite stone
- Width: 1 foot (approximately 305 mm)
Locations:
- All doors: head and jamb (3 sides)
- All windows: Cill, jamb, and head (4 sides)
Inclusions:
- Supply of granite stone in approved shade.
- Cutting and shaping of stone to fit the specified locations.
- Fixing of stone at the specified locations.
- Completing all necessary finishing work.
-2mm Chamfering of open edges.</t>
    </r>
  </si>
  <si>
    <t>Rmt</t>
  </si>
  <si>
    <t>Providing and fixing of new door closer with approved good quality of brand etc., (Brand : Godrej)</t>
  </si>
  <si>
    <t>Nos</t>
  </si>
  <si>
    <t>Door Closer</t>
  </si>
  <si>
    <t>All charges for providing and fixing of vertical executive curtains with scope including manpower , machinaries , tools &amp; tackles , transportations etc.,</t>
  </si>
  <si>
    <t>Curtains</t>
  </si>
  <si>
    <t>iii</t>
  </si>
  <si>
    <t xml:space="preserve">Toll Booths: </t>
  </si>
  <si>
    <t xml:space="preserve">Replacement of Existing ACP with 4mm ACP sheet at Toll Booth. The work including of supply and fixing of new ACP sheet, Removal of existing ACP sheet, all work complete </t>
  </si>
  <si>
    <t>Booth ACP Sheet</t>
  </si>
  <si>
    <t>Ok</t>
  </si>
  <si>
    <r>
      <t xml:space="preserve">Replacement of </t>
    </r>
    <r>
      <rPr>
        <b/>
        <u/>
        <sz val="10"/>
        <color indexed="8"/>
        <rFont val="Poppins"/>
      </rPr>
      <t>6mm Toughened Glass and Repair of Aluminium Frame for Toll Plaza Booth Window</t>
    </r>
    <r>
      <rPr>
        <sz val="10"/>
        <color indexed="8"/>
        <rFont val="Poppins"/>
      </rPr>
      <t xml:space="preserve">
This item covers the replacement of a 10mm thick toughened glass pane and the repair of the aluminium frame for a toll plaza booth window. The glass shall be of IS 2553 (Part 2) compliant quality, assumed to be 1.5m x 1.5m in size, fixed using silicone sealant and appropriate fasteners. The damaged aluminium section will be replaced with Grade 6063 or equivalent aluminium as per IS 733, with welding, grinding, and finishing of the frame to ensure strength and stability. The work includes necessary labor, scaffolding, and the cleaning of the glass after installation. Transport and handling costs for materials and access equipment are included, assuming typical site conditions and access for the work. Payment will be based on the sqm basis of windows replaced. Any variation in glass size or frame profile will be addressed through mutual agreement. This item excludes additional work such as replacement of other frames or glass beyond the specified scope. All work will conform to IS 2553 and IS 733, and the installation will follow standard practices for toll booth windows in India. The unit of measurement is Sqm with all materials, labor, and transportation included.</t>
    </r>
  </si>
  <si>
    <t>Booth Toughened Glass</t>
  </si>
  <si>
    <t>iv</t>
  </si>
  <si>
    <t xml:space="preserve">PAINTING WORKS: </t>
  </si>
  <si>
    <r>
      <rPr>
        <b/>
        <u/>
        <sz val="10"/>
        <color indexed="8"/>
        <rFont val="Poppins"/>
      </rPr>
      <t>Providing and Applying Primer, Putty, and Emulsion Paint to Interior Surfaces (Building)</t>
    </r>
    <r>
      <rPr>
        <sz val="10"/>
        <color indexed="8"/>
        <rFont val="Poppins"/>
      </rPr>
      <t xml:space="preserve">
This item covers the preparation and application of 1 coat of putty (1mm thickness), 1 coat of primer, and 2 coats of Apcolite Premium Emulsion or an equivalent emulsion paint in the approved shade ( off-white with blue bands) to the interior surfaces of the building. The work includes thorough cleaning of the surface to remove dirt, dust, oil, grease, efflorescence, and any other contaminants. After cleaning, the surface will be treated with 1mm thick putty to smoothen the surface, followed by the application of a coat of primer and two coats of emulsion paint. The work will be completed as per MoRTH Clause 800, CPWD Specifications 500, and the directions of the Engineer-in-Charge.
The final price includes the cost of all materials (primer, putty, emulsion paint), labor for surface preparation, cleaning, application of putty, primer, and paint, transportation of materials to the site, overheads, profit, and any required machinery for application.
Relevant Standards:
MoRTH Clause 800: Painting and Surface Finishing Work
CPWD Specification 500: Finish for Internal Walls, including Use of Putty and Emulsion Paint
IS 15489: Code of Practice for Painting of Concrete Surfaces
IS 5410: Specification for Weather-Resistant Paints for Exterior Use (for the use of emulsion)</t>
    </r>
  </si>
  <si>
    <t>Painting</t>
  </si>
  <si>
    <r>
      <rPr>
        <b/>
        <u/>
        <sz val="10"/>
        <color indexed="8"/>
        <rFont val="Poppins"/>
      </rPr>
      <t>Providing and Applying Primer and Weatherproof Paint to Exterior Surfaces (Building)</t>
    </r>
    <r>
      <rPr>
        <b/>
        <sz val="11"/>
        <color indexed="8"/>
        <rFont val="Poppins"/>
      </rPr>
      <t xml:space="preserve">
</t>
    </r>
    <r>
      <rPr>
        <sz val="10"/>
        <color indexed="8"/>
        <rFont val="Poppins"/>
      </rPr>
      <t xml:space="preserve">This item includes the preparation and application of 1 coat of primer and 2 coats of weatherproof paint in the approved shade((off-white with blue bands)) to the exterior surfaces of the building. The work involves thoroughly cleaning the surface to remove all dirt, dust, oil, grease, efflorescence, and other contaminants that could affect paint adhesion. After cleaning, a coat of primer is applied, followed by two coats of weatherproof paint, ensuring a durable and uniform finish. The work will be carried out in accordance with MoRTH Clause 800, CPWD specifications, and the directions of the Engineer-in-Charge.
The final price includes the cost of all materials (primer, weatherproof paint), labor for surface preparation, cleaning, application of primer and paint, transportation of materials to the site, overheads, profit, and any required machinery for application.
</t>
    </r>
    <r>
      <rPr>
        <b/>
        <sz val="9"/>
        <color indexed="8"/>
        <rFont val="Poppins"/>
      </rPr>
      <t>Relevant Standards:
MoRTH Clause 800: Painting and Surface Finishing Work
CPWD Specification 305: Surface Preparation and Painting Work for Exterior Surfaces
IS 5410: Specification for Weather-Resistant Paints for Exterior Use</t>
    </r>
  </si>
  <si>
    <r>
      <rPr>
        <b/>
        <u/>
        <sz val="10"/>
        <color indexed="8"/>
        <rFont val="Poppins"/>
      </rPr>
      <t>Providing and applying  two coats enamel paint (First Quality of Asian/Berger/Nerolac)</t>
    </r>
    <r>
      <rPr>
        <sz val="10"/>
        <color indexed="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</si>
  <si>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Sqm.</t>
  </si>
  <si>
    <t xml:space="preserve"> Booth Island &amp; bullnose on kerb  </t>
  </si>
  <si>
    <r>
      <rPr>
        <b/>
        <u/>
        <sz val="10"/>
        <color indexed="8"/>
        <rFont val="Poppins"/>
      </rPr>
      <t>Application of Synthetic Enamel Paint over Steel Structure (Old Surface)</t>
    </r>
    <r>
      <rPr>
        <sz val="10"/>
        <color indexed="8"/>
        <rFont val="Poppins"/>
      </rPr>
      <t xml:space="preserve">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area of steel surfaces to be painted. The rate includes all labor, materials, and surface preparation. No separate payment will be made for paint removal.</t>
    </r>
  </si>
  <si>
    <r>
      <t xml:space="preserve">Application of Synthetic Enamel Paint over 100 mm dia MS Pipe safety Pipe for Booth
</t>
    </r>
    <r>
      <rPr>
        <sz val="10"/>
        <color indexed="8"/>
        <rFont val="Poppins"/>
      </rPr>
      <t>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</si>
  <si>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Rm.</t>
  </si>
  <si>
    <r>
      <rPr>
        <b/>
        <u/>
        <sz val="10"/>
        <color indexed="8"/>
        <rFont val="Poppins"/>
      </rPr>
      <t>MS Round pipe railing 50mm dia MS Pipe re-painting with scope including 2 coats of enamel paints:</t>
    </r>
    <r>
      <rPr>
        <sz val="10"/>
        <color indexed="8"/>
        <rFont val="Poppins"/>
      </rPr>
      <t xml:space="preserve"> Post height 1.3m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</si>
  <si>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V</t>
  </si>
  <si>
    <t>MISCELLANEOUS WORKS:</t>
  </si>
  <si>
    <r>
      <rPr>
        <b/>
        <u/>
        <sz val="9"/>
        <color indexed="8"/>
        <rFont val="Poppins"/>
      </rPr>
      <t>1st Class Brick Masonry Work in Cement Mortar 1:3</t>
    </r>
    <r>
      <rPr>
        <b/>
        <sz val="9"/>
        <color indexed="8"/>
        <rFont val="Poppins"/>
      </rPr>
      <t xml:space="preserve">
</t>
    </r>
    <r>
      <rPr>
        <sz val="9"/>
        <color indexed="8"/>
        <rFont val="Poppins"/>
      </rPr>
      <t xml:space="preserve">This item includes the construction of brick masonry using 1st class burnt clay bricks, laid in cement mortar of mix ratio 1:3 (Cement: Sand), for foundations, walls, piers, columns, and other structures as per the approved drawings and technical specifications, </t>
    </r>
    <r>
      <rPr>
        <b/>
        <sz val="9"/>
        <color indexed="8"/>
        <rFont val="Poppins"/>
      </rPr>
      <t>from ground level till plinth and in superstructure above plinth level up to floor five level</t>
    </r>
    <r>
      <rPr>
        <sz val="9"/>
        <color indexed="8"/>
        <rFont val="Poppins"/>
      </rPr>
      <t xml:space="preserve">. The work includes thoroughly soaking the bricks in water for a minimum period of one hour prior to laying them to ensure proper bonding and to achieve maximum strength. The work shall also involve the protection of the green structure from rain during curing by suitable coverings. Curing of the masonry shall be done for a minimum period of 7 days as per standard practices to ensure the proper hydration and strength development of the mortar and masonry. The work excludes the cost of pointing, plastering, or any additional finish unless specified otherwise. The work shall be executed in accordance with the relevant CPWD and IS specifications.
The final price includes the cost of procurement of 1st class bricks, cement, sand, and other necessary materials, including royalty charges, transportation to site, soaking of bricks, labor, machinery, curing, and all overheads and profit. The cost does not include pointing, plastering, or any decorative finishes unless specified separately. Safety measures and quality checks shall be implemented during all stages.
</t>
    </r>
    <r>
      <rPr>
        <b/>
        <sz val="9"/>
        <color indexed="8"/>
        <rFont val="Poppins"/>
      </rPr>
      <t>Relevant Standards:
CPWD Specification No. 6.4 (Brick Masonry Work)
MoRTH Clause 1300 (Brick Masonry Work)</t>
    </r>
  </si>
  <si>
    <t>Cum</t>
  </si>
  <si>
    <r>
      <rPr>
        <b/>
        <u/>
        <sz val="9"/>
        <color indexed="8"/>
        <rFont val="Poppins"/>
      </rPr>
      <t>Plaster (20 mm Thick in Two Layers with Waterproofing Compound)</t>
    </r>
    <r>
      <rPr>
        <sz val="9"/>
        <color indexed="8"/>
        <rFont val="Poppins"/>
      </rPr>
      <t xml:space="preserve">
The work includes 20 mm thick external plaster in two layers as per CPWD Clause 13. cement mortar 1:3 (1 cement: 3 fine sand) applied.
The work includes raking joints, cleaning, surface preparation, uniform application of both layers, curing as specified, and ensuring a smooth finish. The cost includes all materials (cement, sand, waterproofing compound, water), labor, curing, scaffolding, and quality checks. Measurement shall be in Sqm of finished plastered area. The work shall conform to IS 1661:1980 and CPWD specifications.
Rate is applicable from plinth level to floor five level.</t>
    </r>
  </si>
  <si>
    <r>
      <t xml:space="preserve">Providing and laying </t>
    </r>
    <r>
      <rPr>
        <b/>
        <u/>
        <sz val="10"/>
        <rFont val="Poppins"/>
      </rPr>
      <t>integral cement‑based waterproofing treatment with brick‑bat coba</t>
    </r>
    <r>
      <rPr>
        <sz val="10"/>
        <rFont val="Poppins"/>
      </rPr>
      <t xml:space="preserve"> over RCC slab and parapet walls up to 300 mm heights, as per CPWD Spec 22.7: including surface cleaning , scrapping, cleaned neatly of all morter dropping, loose material with brooms/cloth,first slurry coat (2.75 kg/m²), laying 25–115 mm brick‑bats with 1:5 mortar bed and waterproofing compound, second slurry coat after 2 days, finishing layer of 20 mm cement mortar (1:4) with fibreglass cloth membrane and 300×300 mm surface pattern, complete curing and testing (ponding for 14 days). Rate to include all materials, waterproofing compound, fibreglass, labour, curing, testing, and no deductions for openings up to 0.40 m².</t>
    </r>
  </si>
  <si>
    <t xml:space="preserve">Replace with Brick Bat Water Proofing </t>
  </si>
  <si>
    <r>
      <rPr>
        <b/>
        <u/>
        <sz val="10"/>
        <color indexed="8"/>
        <rFont val="Poppins"/>
      </rPr>
      <t>Plain Cement Concrete M-15 Grade in Open Foundation</t>
    </r>
    <r>
      <rPr>
        <sz val="10"/>
        <color indexed="8"/>
        <rFont val="Poppins"/>
      </rPr>
      <t xml:space="preserve">
All charges for supply &amp; placing of Plain Cement Concrete (M-15 grade) in open foundations as per approved drawings and technical specifications, conforming to MoRTH Sections 1500, 1700, and 2200.  The mix shall use aggregates of size not exceeding 20 mm, with a workable slump suitable for PCC. The thickness of PCC shall be as specified in drawing. Concrete placement shall ensure a free-fall height of less than 1.5 m to prevent segregation, compacted using mechanical vibrators to achieve proper consolidation.
The work includes the preparation of the foundation surface, leveling, placing concrete, and finishing exposed surfaces to achieve the required levels and smoothness. Adequate curing, as per approved methods, shall be carried out for at least 7 days to attain the desired strength. Sampling and testing shall follow relevant IS codes, including IS 456 and IS 516, to ensure compliance with quality standards.
The rate shall include all costs associated with labor, material, machinery, batching, transporting, placing, compacting, curing, sampling, testing, and incidental works. Shuttering costs, where required, are also deemed included in the rate of PCC. The work shall be executed with due diligence, adhering to environmental and safety measures, and ensuring compliance with the project’s specifications and MoRTH standards.</t>
    </r>
  </si>
  <si>
    <t>Cum.</t>
  </si>
  <si>
    <r>
      <rPr>
        <b/>
        <sz val="10"/>
        <color indexed="8"/>
        <rFont val="Poppins"/>
      </rPr>
      <t>Supplying, fabricating, and erecting mild steel structural frame for DG shed &amp; Car Parking Shed</t>
    </r>
    <r>
      <rPr>
        <sz val="10"/>
        <color indexed="8"/>
        <rFont val="Poppins"/>
      </rPr>
      <t xml:space="preserve"> using ISMC/ISA/SHS/RHS sections for columns, trusses, purlins, rafters, and other members; including cutting, welding, grinding, hoisting, and alignment; fixing columns in cement mortar (1:3) in prepared foundations; providing and fixing MS bracings, stiffeners, cleats, base plates, and other necessary fittings; applying one coat of red oxide primer followed by two coats of synthetic enamel paint; and supplying and fixing 0.50 mm thick color-coated galvanized/MS roofing sheets including ridge, overlap, self-drilling screws, washers, and all necessary accessories — complete in all respects as per drawings, specifications, and instructions of the Engineer-in-Charge.</t>
    </r>
  </si>
  <si>
    <t>Mt</t>
  </si>
  <si>
    <r>
      <rPr>
        <b/>
        <sz val="10"/>
        <color indexed="8"/>
        <rFont val="Poppins"/>
      </rPr>
      <t xml:space="preserve">Supplying and fixing 0.50 mm thick color-coated galvanized/mild steel (MS) </t>
    </r>
    <r>
      <rPr>
        <sz val="10"/>
        <color indexed="8"/>
        <rFont val="Poppins"/>
      </rPr>
      <t>roofing sheets over the structural steel frame, including necessary overlaps, ridges, hips, valleys, and fixing with self-drilling screws with neoprene washers. Also includes providing and fixing of mild steel bracings, stiffeners, cleats, and other associated accessories for proper anchorage and structural stability. Complete in all respects as per approved drawings, specifications, and directions of the Engineer-in-Charge.</t>
    </r>
  </si>
  <si>
    <r>
      <t>Repairing of water leackage in toilet blocks, admin building &amp; pantry</t>
    </r>
    <r>
      <rPr>
        <sz val="10"/>
        <color indexed="8"/>
        <rFont val="Poppins"/>
      </rPr>
      <t xml:space="preserve"> as per requirements including all manpower &amp; consumable charges.</t>
    </r>
    <r>
      <rPr>
        <b/>
        <sz val="10"/>
        <color indexed="8"/>
        <rFont val="Poppins"/>
      </rPr>
      <t xml:space="preserve"> </t>
    </r>
  </si>
  <si>
    <t>LS</t>
  </si>
  <si>
    <r>
      <rPr>
        <b/>
        <u/>
        <sz val="10"/>
        <color indexed="8"/>
        <rFont val="Poppins"/>
      </rPr>
      <t>Providing &amp; Fixing of 75mm Dia PVC Pipe</t>
    </r>
    <r>
      <rPr>
        <sz val="10"/>
        <color indexed="8"/>
        <rFont val="Poppins"/>
      </rPr>
      <t xml:space="preserve">
All charges for providing and fixing a 75 mm diameter PVC pipe, conforming to IS 4985 standards, for non-pressure applications as per CPWD specifications. The pipe shall be of approved make and capable of withstanding the required loads. The installation will involve securing the pipe along the specified alignment with corrosion-resistant clamps and fasteners, placed at intervals not exceeding 1 meter, or as directed by the Engineer-in-Charge. The rate shall cover all necessary accessories, including bends, joints, fittings, overlaps, and any cutting or jointing required to complete the installation. The entire system, including pipe layout, fittings, and alignment, must be leak-proof and installed as per drawings. Payment will be made on a running meter (RM) basis, which includes the pipe, clamps, fittings, bends, joints, overlaps, and all associated work, with no separate payment for bends, joints, or overlaps. The rate shall also include labor, transportation, and the necessary installation work to meet specifications.
Pipe from the approved make shall only be used.</t>
    </r>
  </si>
  <si>
    <t>Rm</t>
  </si>
  <si>
    <r>
      <rPr>
        <b/>
        <sz val="10"/>
        <rFont val="Poppins"/>
      </rPr>
      <t>Supply of Unskilled Labour Supply of unskilled labour</t>
    </r>
    <r>
      <rPr>
        <sz val="10"/>
        <rFont val="Poppins"/>
      </rPr>
      <t xml:space="preserve"> for assisting in various site activities such as cleaning, material handling,, shifting of equipment, scaffolding support, , site maintenance, and other general tasks as directed by the Engineer-in-Charge. Labour shall be physically fit and available for work during specified site hours.The rate includes the provision of standard Personal Protective Equipment (PPE) such as safety helmet, high-visibility jacket, safety shoes, gloves, and dust mask, ensuring compliance with safety norms.</t>
    </r>
  </si>
  <si>
    <t>Mandays</t>
  </si>
  <si>
    <r>
      <rPr>
        <b/>
        <sz val="10"/>
        <color indexed="8"/>
        <rFont val="Poppins"/>
      </rPr>
      <t xml:space="preserve">All charges for repairing of canopy Drainage rainwater-charges for repairing </t>
    </r>
    <r>
      <rPr>
        <sz val="10"/>
        <color indexed="8"/>
        <rFont val="Poppins"/>
      </rPr>
      <t xml:space="preserve">of canopy Drainage rainwater collective line leakage (U shape type in GI Sheet)  </t>
    </r>
  </si>
  <si>
    <t>Repair of damaged PQC around toll booths using microconcrete- Repair of damaged PQC around toll booths using microconcrete including dismantling of esisting pqc upto 100 mm depth,surface cleaning,application of bonding agent( Nito Bond EP orEquivalent) placing of non shrink micro concrete ,curing,surface finishing,and disposal of debris including all material,labours,tools, machinery, transportation etc as per the direction of EIC.</t>
  </si>
  <si>
    <r>
      <rPr>
        <b/>
        <sz val="10"/>
        <color indexed="8"/>
        <rFont val="Poppins"/>
      </rPr>
      <t xml:space="preserve">All charges for supply &amp; placing of RCC (M-25 grade) in open foundations- </t>
    </r>
    <r>
      <rPr>
        <sz val="10"/>
        <color indexed="8"/>
        <rFont val="Poppins"/>
      </rPr>
      <t xml:space="preserve">
All charges for providing and placing RCC M25 grade concrete for foundations as per approved drawings and technical specifications, conforming to MoRTH Sections 1500, 1700, and 2200. The concrete shall be produced using a batch mix plant, transported via transit mixers, and placed in position using appropriate equipment. The mix design, including approved admixtures, shall be submitted for approval by the Engineer-in 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t>
    </r>
  </si>
  <si>
    <t>Column and footings of MS Gates &amp; Drain Cover</t>
  </si>
  <si>
    <r>
      <rPr>
        <b/>
        <sz val="10"/>
        <color indexed="8"/>
        <rFont val="Poppins"/>
      </rPr>
      <t xml:space="preserve">Reinforcement Steel: </t>
    </r>
    <r>
      <rPr>
        <sz val="10"/>
        <color indexed="8"/>
        <rFont val="Poppins"/>
      </rPr>
      <t xml:space="preserve">
 All charges for providing, cutting, bending, transporting, and tying reinforcement steel of designation TMT FE 500 as per IS 1786 for construction work. The vendor shall supply all necessary steel and 18gauge black annealed binding wire. Reinforcement steel bars are to be cut, bent, and tied per approved bar bending schedules and structural drawings, ensuring precise dimensions and placements. Steel bars shall be securely tied at all intersections using 18-gauge black annealed binding wire to maintain stability during concrete placement. Laps shall conform to MoRTH specifications and as directed in drawings, with no separate payment for laps or overlaps as per MoRTH Clause 1600. Proper clear cover shall be maintained with spacers and chairs as per drawings and CPWD standards. Steel will be measured by weight in kilograms, excluding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 </t>
    </r>
  </si>
  <si>
    <t>Kg.</t>
  </si>
  <si>
    <t>MS gates Column and footing &amp; Drain Cover Steel</t>
  </si>
  <si>
    <t>VI</t>
  </si>
  <si>
    <t xml:space="preserve">Toll plaza Boundary </t>
  </si>
  <si>
    <r>
      <t xml:space="preserve">Construction of boundary wall using </t>
    </r>
    <r>
      <rPr>
        <sz val="10"/>
        <color indexed="8"/>
        <rFont val="Poppins"/>
      </rPr>
      <t>precast and prestressed concrete panels of size 2.4 m × 0.3 m × 0.05 m in M-30 grade concrete (1:1.5:3 mix) and precast concrete columns of size 0.15 m × 0.15 m × 2.7 m (including 0.6 m embedded below ground level and 2.1 m above ground level), including:
Excavation and concrete work for grouting of columns in position
Fixing of precast panels into grooves of the columns to form a rigid wall
Applying two coats of primer and paint on the front face of the wall panels
All labour, materials, tools and plants, equipment, transportation, scaffolding, and all other incidental works required Complete in all respects as per approved drawings, specifications, and instructions of the Engineer-in-Charge
Unit: Running Meter (Rm)</t>
    </r>
  </si>
  <si>
    <r>
      <t xml:space="preserve">Toll plaza bounfencing work </t>
    </r>
    <r>
      <rPr>
        <sz val="10"/>
        <color indexed="8"/>
        <rFont val="Poppins"/>
      </rPr>
      <t xml:space="preserve">providing and fixing of diamond type fencing 3 mm with supporting angle in space of center to center 3m with scope including all materials, manpower, machineries etc size </t>
    </r>
    <r>
      <rPr>
        <b/>
        <sz val="10"/>
        <color indexed="8"/>
        <rFont val="Poppins"/>
      </rPr>
      <t>282m* 2.7m</t>
    </r>
  </si>
  <si>
    <r>
      <t xml:space="preserve">Supply &amp; fixing of MS railing Tubular Steel Railing on Medium Weight steel channel (ISMC series) 100mm X 50mm </t>
    </r>
    <r>
      <rPr>
        <sz val="10"/>
        <rFont val="Poppins"/>
      </rPr>
      <t>(Providing fixing eracting 50mm dia steel pipe railing in 3 rows duly painted on medium weight steel channels (ISMC Series) 100mm X 50mm . 1.2 meters high above ground. 2m centre  to center.</t>
    </r>
  </si>
  <si>
    <r>
      <rPr>
        <b/>
        <sz val="10"/>
        <color indexed="8"/>
        <rFont val="Poppins"/>
      </rPr>
      <t>Supply and fixing of MS round hollow 50 mm dia</t>
    </r>
    <r>
      <rPr>
        <sz val="10"/>
        <color indexed="8"/>
        <rFont val="Poppins"/>
      </rPr>
      <t xml:space="preserve"> pipe in railing at pipe damage and Missing location including painting ,cutting in required size, labour , material and all consumables etc.</t>
    </r>
  </si>
  <si>
    <t>VII</t>
  </si>
  <si>
    <t xml:space="preserve">Toll Plaza main Gates </t>
  </si>
  <si>
    <r>
      <t xml:space="preserve">Supplying and fixing of motorized sliding MS gate including all labor, materials, lead, lift, etc., complete, as per the following specifications:
</t>
    </r>
    <r>
      <rPr>
        <b/>
        <sz val="10"/>
        <color indexed="8"/>
        <rFont val="Poppins"/>
      </rPr>
      <t xml:space="preserve">Gate Dimensions: </t>
    </r>
    <r>
      <rPr>
        <b/>
        <sz val="10"/>
        <color indexed="8"/>
        <rFont val="Poppins"/>
      </rPr>
      <t>7 feet height, 18 feet total width, with 13 feet sliding on rollers and 5 feet openable manually. 1-Entry gate Bareilly End (clear Opening size 6.5m *2.8 m) 2- Main Centre Entry Gate Toll plaza (Clear Opening size 7.5m *2.8 m)  3-Entry Gate Sitapur End (Clear Opening size 5.5m *2.8 m) 4-DG Set Room (Clear Opening size 4.5m *2.8 m) 5-MS Tunnel booth stair Covers of Size ( 1.5*1.2)m (14 Nos)</t>
    </r>
    <r>
      <rPr>
        <sz val="10"/>
        <color indexed="8"/>
        <rFont val="Poppins"/>
      </rPr>
      <t xml:space="preserve">
</t>
    </r>
    <r>
      <rPr>
        <b/>
        <sz val="10"/>
        <color indexed="8"/>
        <rFont val="Poppins"/>
      </rPr>
      <t>Material Specifications:</t>
    </r>
    <r>
      <rPr>
        <sz val="10"/>
        <color indexed="8"/>
        <rFont val="Poppins"/>
      </rPr>
      <t xml:space="preserve">
Frame: Mild Steel (MS), IS 2062, Grade A, with thickness 2.5 mm (or as per load-bearing requirements), ensuring structural integrity and durability.
Slats/Panels: Mild Steel sheets of 1.6 mm thickness, welded for a rigid structure.
Roller System: Heavy-duty MS rollers, 50 mm diameter, designed for smooth operation, mounted on a mild steel rail (size: 100 x 50 mm) to ensure stability and ease of movement.
Motor: 1 HP capacity, single-phase motor, suitable for sliding gates, including necessary wiring and connections. The motor’s specifications are given as broad guidelines; final motor specifications shall be confirmed based on the actual drawings submitted by the vendor for approval before fabrication.
Openable Section: The 5 feet section shall be manually operable with necessary hinges and locks.
Painting: Two coats of high-quality oil-based paint in approved shade for corrosion resistance and aesthetic finish.
Installation: Gate to be fixed with MS anchor bolts to a concrete foundation. The rail system and rollers shall be aligned and levelled for smooth movement, as per approved installation methodology.
Testing and Commissioning: The gate, motor, and sliding mechanism will undergo functional testing, ensuring proper operation and smooth sliding.
Safety: Compliance with relevant safety standards during installation and operation.
Exclusions: Remote control, automatic locks, intercom systems, safety sensors, or any additional automation are excluded from the rate and shall be paid separately.
Cost includes all labor, materials, transportation, tools, fabrication, welding, grinding, polishing, painting, and installation, including foundation works, anchor bolts, and necessary accessories.
The provision of the motor, testing, and commissioning as per the approved drawings and specifications.
Gate frame, slats/panels, roller system, and associated hardware.
IS Codes:
IS 2062: Specification for mild steel material.
IS 1038: Design and performance standards for motorized gates.
IS 6911:2017: For fabrication and welding of stainless steel, if used for any small components (in case of mixed materials).</t>
    </r>
  </si>
  <si>
    <t>VIII</t>
  </si>
  <si>
    <t xml:space="preserve">Tiles </t>
  </si>
  <si>
    <r>
      <rPr>
        <b/>
        <sz val="10"/>
        <color indexed="8"/>
        <rFont val="Poppins"/>
      </rPr>
      <t>Chequerred precast cement concrete tiles 22 mm thick</t>
    </r>
    <r>
      <rPr>
        <sz val="10"/>
        <color indexed="8"/>
        <rFont val="Poppins"/>
      </rPr>
      <t xml:space="preserve"> in footpath &amp; courtyard, jointed with neat cement slurry mixed with pigment to match the shade of tiles, including rubbing and cleaning etc. complete, on 20 mm thick bed of cement mortar 1:4 (1 cement: 4 coarse sand).</t>
    </r>
  </si>
  <si>
    <r>
      <rPr>
        <b/>
        <sz val="10"/>
        <color indexed="8"/>
        <rFont val="Poppins"/>
      </rPr>
      <t>Providing and laying Vitrified tiles of 20 mm thick in floor</t>
    </r>
    <r>
      <rPr>
        <sz val="10"/>
        <color indexed="8"/>
        <rFont val="Poppins"/>
      </rPr>
      <t xml:space="preserve"> in different sizes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</si>
  <si>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r>
      <rPr>
        <b/>
        <sz val="10"/>
        <rFont val="Poppins"/>
      </rPr>
      <t>Providing and fixing Heat Resistant Terrace Tiles of 20 mm thick</t>
    </r>
    <r>
      <rPr>
        <sz val="10"/>
        <rFont val="Poppins"/>
      </rPr>
      <t xml:space="preserve"> with SRI (solar refractive index) &gt; 78, solar reflection  &gt;  0.70  and  initial  emittance  &gt;  0.75  on  waterproof and  sloped  surface  of  terrace,  laid  on  20  mm  thick  cement sand mortar in the ratio of 1:4 (1 cement : 4 coarse sand) and grouting the joints with mix of white cement &amp; marble powder in ratio of 1:1, including rubbing and polishing of the surface upto  3  cuts  complete,  including  providing  skirting  upto  150 mm height along the parapet walls in the same manner.</t>
    </r>
  </si>
  <si>
    <r>
      <rPr>
        <b/>
        <sz val="10"/>
        <color indexed="8"/>
        <rFont val="Poppins"/>
      </rPr>
      <t>Providing and laying Vitrified Skirting tiles of 20 mm thick</t>
    </r>
    <r>
      <rPr>
        <sz val="10"/>
        <color indexed="8"/>
        <rFont val="Poppins"/>
      </rPr>
      <t xml:space="preserve"> in different sizes ,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</si>
  <si>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t>IX</t>
  </si>
  <si>
    <t>ADMIN BUILDING:Sanitary and Plumbing Fittings-</t>
  </si>
  <si>
    <t>Flushing Cistern P.V.C. 10 lts capacity (low level) (White) (with fittings, accessories and flush pipe)</t>
  </si>
  <si>
    <t>Nos.</t>
  </si>
  <si>
    <t>Vitreous china squatting plate urinal with top inlet including CI bracket C.P. brass waste 32 mm.</t>
  </si>
  <si>
    <t xml:space="preserve">Vitreous china wall hanging wash basin 450x300 mm with 15 mm C.P. brass tap with elbow operation lever including all fitting ,labour and others consumables like water outlet pipe ,CI Bracket C.P. brass waste 32 mm etc. </t>
  </si>
  <si>
    <t>15 mm C.P.brass tap</t>
  </si>
  <si>
    <t>Jet Spay Faucet</t>
  </si>
  <si>
    <t>Towel Rod</t>
  </si>
  <si>
    <t>Towel Ring</t>
  </si>
  <si>
    <t>Paper holder</t>
  </si>
  <si>
    <t>Supply and Fitting of PVC Pipe 1" of make Astral &amp; supreme</t>
  </si>
  <si>
    <t>Feet</t>
  </si>
  <si>
    <t>Supply and Fitting of PVC Pipe 2" of make Astral &amp; supreme</t>
  </si>
  <si>
    <r>
      <t>Repairing of water leackage in toilet blocks, admin building &amp; pantry</t>
    </r>
    <r>
      <rPr>
        <sz val="10"/>
        <color indexed="8"/>
        <rFont val="Poppins"/>
      </rPr>
      <t xml:space="preserve"> as per requirements including all manpower &amp; consumable charges.</t>
    </r>
    <r>
      <rPr>
        <b/>
        <sz val="10"/>
        <color indexed="8"/>
        <rFont val="Poppins"/>
      </rPr>
      <t xml:space="preserve"> ( 30 points)</t>
    </r>
  </si>
  <si>
    <t>LS.</t>
  </si>
  <si>
    <r>
      <rPr>
        <b/>
        <sz val="10"/>
        <color indexed="8"/>
        <rFont val="Poppins"/>
      </rPr>
      <t>Providing and fixing of rainwater down-take pipe</t>
    </r>
    <r>
      <rPr>
        <sz val="10"/>
        <color indexed="8"/>
        <rFont val="Poppins"/>
      </rPr>
      <t xml:space="preserve"> of  PVC  100 mm dia. for canopy drainage, including necessary fittings such as elbows, bends, couplers, shoes, clamps, and fasteners. The pipe shall be fixed to the buildings using suitable brackets/clamps at regular intervals not exceeding 1.5 meters, ensuring proper alignment and slope for effective drainage. The work includes cutting, jointing, sealing with solvent cement (for PVC), including fixing of all accessories and making connections to the stormwater drain or surface outlet. All work to be completed as per relevant IS codes and direction of Engineer-in-Charge.</t>
    </r>
  </si>
  <si>
    <t>X</t>
  </si>
  <si>
    <t>Electrcial Works-</t>
  </si>
  <si>
    <t>Supply, installation, testing, and commissioning of ceiling fans, electrical switches, batten lights, ceiling lights, and other related electrical accessories at designated locations as per the instructions of the Engineer-in-Charge, complete in all respects.</t>
  </si>
  <si>
    <t>Supply and fixing of ceiling light ( LED Type,22 watt, 230 V,round/square panel type</t>
  </si>
  <si>
    <t>supply and fixing of Modular MCB 32 A for AC ( SP,10KA ISI marked)</t>
  </si>
  <si>
    <t>Supply and fixing of 12 -module Modular switch board</t>
  </si>
  <si>
    <t>Supply and fixing of 8 -module Modular switch board</t>
  </si>
  <si>
    <t>v</t>
  </si>
  <si>
    <t>Supply and fixing of 6 -module Modular switch board</t>
  </si>
  <si>
    <t>vi</t>
  </si>
  <si>
    <t>Supply and fixing of 3 -module Modular switch board</t>
  </si>
  <si>
    <t>vii</t>
  </si>
  <si>
    <t>Supply and Fixing of 16 A Socket ( Modular Type)</t>
  </si>
  <si>
    <t>viii</t>
  </si>
  <si>
    <t>Supply and Fixing of 16 A Switch ( Modular Type)</t>
  </si>
  <si>
    <t>ix</t>
  </si>
  <si>
    <t>Supply and Fixing of 6 A Socket ( Modular Type)</t>
  </si>
  <si>
    <t>x</t>
  </si>
  <si>
    <t>Supply and Fixing of 6 A Switch ( Modular Type)</t>
  </si>
  <si>
    <t>xi</t>
  </si>
  <si>
    <t>Supply and fixing of fan regulator( Modular,5 step)</t>
  </si>
  <si>
    <t>xii</t>
  </si>
  <si>
    <t>Supply and fixing of blank plate for unused module slots</t>
  </si>
  <si>
    <t>xiii</t>
  </si>
  <si>
    <t>Supply and Fixing of MCB Box for 3 phase distribution system</t>
  </si>
  <si>
    <t>xiv</t>
  </si>
  <si>
    <t>Supply and fixing of indicator lamp ( neon type,modular, 230v)</t>
  </si>
  <si>
    <t>xv</t>
  </si>
  <si>
    <t>Supply and fixing of 4 Module  Modular switch Board</t>
  </si>
  <si>
    <t>xvi</t>
  </si>
  <si>
    <t>Supply and Fixing of Exhaust Fan ( 230 mm seep,230 V, Plastic boady)</t>
  </si>
  <si>
    <t>xvii</t>
  </si>
  <si>
    <t>Supply and Fixing of Wall Mounted Fan ( 400 mm seep,230 V, Plastic boady, oscillating type)</t>
  </si>
  <si>
    <t>xviii</t>
  </si>
  <si>
    <t>Supply and fixing of LED bulb 10 W, B22 Base,6500 K cool white</t>
  </si>
  <si>
    <t>xix</t>
  </si>
  <si>
    <t>Wall Conduit wiring with grove cutting &amp; Fixing of PVC conduit ( 20 mm ) excluding wire</t>
  </si>
  <si>
    <t>xx</t>
  </si>
  <si>
    <t>Supply and Fixing of GI metal Box 12 Module including slot cutting</t>
  </si>
  <si>
    <t>xxi</t>
  </si>
  <si>
    <t>Supply and Fixing of Round electrical Junction Box ( PVC) including slot cutting</t>
  </si>
  <si>
    <t>xxii</t>
  </si>
  <si>
    <t>Supply and fixing of 32 amp MCB in existing MCB box</t>
  </si>
  <si>
    <t>xxiii</t>
  </si>
  <si>
    <t xml:space="preserve">Supply and fixing of  Batten light ( LED tube light ,50Watt  with metal body </t>
  </si>
  <si>
    <t>xxiv</t>
  </si>
  <si>
    <t>Supply and fixing of Ceilling fan 1200 mm sweep,230v , double ball bearing, ISI marked</t>
  </si>
  <si>
    <t>xxv</t>
  </si>
  <si>
    <t>Supply of copper conductor PVC insulated wire of 1.5 sq.mm (Red), in standard bundle/coil of 90 meters length, to be laid at specified locations as directed by Engineer-in-Charge.</t>
  </si>
  <si>
    <t>xxvi</t>
  </si>
  <si>
    <t>Supply of copper conductor PVC insulated wire of 2.5 sq.mm (Red), in standard bundle/coil of 90 meters length, to be laid at specified locations as directed by Engineer-in-Charge.</t>
  </si>
  <si>
    <t>xxvii</t>
  </si>
  <si>
    <t>Supply of 25 mm diameter flexible round PVC electrical conduit pipe,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</si>
  <si>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xxviii</t>
  </si>
  <si>
    <t>Supply of 25 mm conduit tube,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</si>
  <si>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 xml:space="preserve">Description </t>
  </si>
  <si>
    <t>Unit</t>
  </si>
  <si>
    <t xml:space="preserve">Side </t>
  </si>
  <si>
    <t>Measurement (M)</t>
  </si>
  <si>
    <t>New Jersey Barrier: (NJB):</t>
  </si>
  <si>
    <t>Length</t>
  </si>
  <si>
    <t>Breadth</t>
  </si>
  <si>
    <t xml:space="preserve">Depth </t>
  </si>
  <si>
    <t>L</t>
  </si>
  <si>
    <t>W</t>
  </si>
  <si>
    <t>D</t>
  </si>
  <si>
    <t>Providing and fixing of M25 Grade drainage slab with scope including materials , manpower, transportations etc.,</t>
  </si>
  <si>
    <t xml:space="preserve">(i) M25 grade concrete </t>
  </si>
  <si>
    <t>BHS</t>
  </si>
  <si>
    <t>(ii) Steel @ 65kg/Cum</t>
  </si>
  <si>
    <t>Kg</t>
  </si>
  <si>
    <t>Providing and fixing of MS structural members for Car &amp; DG  Shed with scope including materials , manpower, transportations etc.</t>
  </si>
  <si>
    <t>a</t>
  </si>
  <si>
    <t>DG Shed</t>
  </si>
  <si>
    <t xml:space="preserve">MS 75mm sqare heavy duty </t>
  </si>
  <si>
    <t>MT</t>
  </si>
  <si>
    <t>LHS</t>
  </si>
  <si>
    <t>50 mm square longitudinal truss</t>
  </si>
  <si>
    <t>b</t>
  </si>
  <si>
    <t>Car Parking Shed</t>
  </si>
  <si>
    <t xml:space="preserve">Supply &amp; Fixing of GI sheet for DG shed &amp; Car Parking shed with scope including materials , manpower, transportations etc., </t>
  </si>
  <si>
    <t>Dismantling of RCC/PCC upto 100mm</t>
  </si>
  <si>
    <t>Dismantling</t>
  </si>
  <si>
    <t>Damage Terrace Area</t>
  </si>
  <si>
    <t>Down take Pipe</t>
  </si>
  <si>
    <t>Canopy</t>
  </si>
  <si>
    <t>Toilet Block Misc. Items</t>
  </si>
  <si>
    <t xml:space="preserve">Medical aid </t>
  </si>
  <si>
    <t>Water Cooler</t>
  </si>
  <si>
    <t>Toilet Block</t>
  </si>
  <si>
    <t>Exhaust Fan</t>
  </si>
  <si>
    <t xml:space="preserve">Supply of Unskilled Labour </t>
  </si>
  <si>
    <t xml:space="preserve">Brick works : Unforseen repairing work </t>
  </si>
  <si>
    <t xml:space="preserve">M15 Concrete : Unforseen repairing work </t>
  </si>
  <si>
    <t>Door Closer for  Admin Buildings etc.,</t>
  </si>
  <si>
    <t xml:space="preserve">Down Take PVC pipe 100 mm dia for toll plaza canopy  and toilet blocks , Traffic aid post with elbow </t>
  </si>
  <si>
    <t>Repairing of canopy drainage rain water collective line leakage</t>
  </si>
  <si>
    <t>Repairing only</t>
  </si>
  <si>
    <t>Toll Booth Lane PQC Repair with Micro concrete</t>
  </si>
  <si>
    <t>MS Tunnel booth stair Covers of Size ( 1.5*1.2)m</t>
  </si>
  <si>
    <t>Considering Weight 50 Kg per sqm</t>
  </si>
  <si>
    <t>Foundation Concrete M-15</t>
  </si>
  <si>
    <t>DG shed</t>
  </si>
  <si>
    <t>Car shed</t>
  </si>
  <si>
    <t>Painting  Work</t>
  </si>
  <si>
    <t>I</t>
  </si>
  <si>
    <t>Toll Separator Kerb, Crash Barrier  &amp; Bullnose Painting</t>
  </si>
  <si>
    <t>Separator</t>
  </si>
  <si>
    <t>i) Outer</t>
  </si>
  <si>
    <t>Crash Barrier</t>
  </si>
  <si>
    <t>ii) Outer</t>
  </si>
  <si>
    <t>iii) Inner</t>
  </si>
  <si>
    <t>iv) Inner</t>
  </si>
  <si>
    <t>Kerb</t>
  </si>
  <si>
    <t>Separator Kerb</t>
  </si>
  <si>
    <t>Footpath Kerb</t>
  </si>
  <si>
    <t>RHS</t>
  </si>
  <si>
    <t>Weigh Bridge Island Kerb</t>
  </si>
  <si>
    <t>Garden Kerb</t>
  </si>
  <si>
    <t>Bullnose</t>
  </si>
  <si>
    <t>Bullnose entry</t>
  </si>
  <si>
    <t>Bullnose entry top</t>
  </si>
  <si>
    <t>Bullnose exit</t>
  </si>
  <si>
    <t>Bullnose exit top</t>
  </si>
  <si>
    <t xml:space="preserve">NJB </t>
  </si>
  <si>
    <t>Top</t>
  </si>
  <si>
    <t>Front</t>
  </si>
  <si>
    <t>Side</t>
  </si>
  <si>
    <t xml:space="preserve">Total </t>
  </si>
  <si>
    <t>II</t>
  </si>
  <si>
    <t>Safety pipe railing 100mm dia MS Pipe re-painting with scope including 2 coats of enamel paints:</t>
  </si>
  <si>
    <t xml:space="preserve">No.of Booths </t>
  </si>
  <si>
    <t>Rmt.</t>
  </si>
  <si>
    <t>.</t>
  </si>
  <si>
    <t>III</t>
  </si>
  <si>
    <t>MS Round pipe railing 50mm dia MS Pipe re-painting with scope including 2 coats of enamel paints: Post height 1.3m</t>
  </si>
  <si>
    <t>Railing</t>
  </si>
  <si>
    <t>IV</t>
  </si>
  <si>
    <t>MS Parking Shed re-painting with scope including 2 coats of enamel paints</t>
  </si>
  <si>
    <t xml:space="preserve">Parking Area Shed </t>
  </si>
  <si>
    <t>Column Back Side</t>
  </si>
  <si>
    <t>Column Front Side</t>
  </si>
  <si>
    <t xml:space="preserve">Rest Area Shed </t>
  </si>
  <si>
    <t>Column Center</t>
  </si>
  <si>
    <t>Side Beam</t>
  </si>
  <si>
    <t>Front &amp; Back Beam</t>
  </si>
  <si>
    <t>Longitudinal Beam (50mm)</t>
  </si>
  <si>
    <t xml:space="preserve">Longitudinal Beam </t>
  </si>
  <si>
    <t>Shed Structure (80 mm)</t>
  </si>
  <si>
    <t>Feeder Panel</t>
  </si>
  <si>
    <t>Front Side</t>
  </si>
  <si>
    <t>Side Face</t>
  </si>
  <si>
    <t>Stand</t>
  </si>
  <si>
    <t>Front &amp; Back</t>
  </si>
  <si>
    <t xml:space="preserve">For 2 nos </t>
  </si>
  <si>
    <t>Tunnel Booth Stairs Painting</t>
  </si>
  <si>
    <t xml:space="preserve"> MS Stairs Painting ( Enamel paint)</t>
  </si>
  <si>
    <t>Area of trapezoidal</t>
  </si>
  <si>
    <t xml:space="preserve"> Area Round Pipe</t>
  </si>
  <si>
    <t>Total&gt;&gt;&gt;</t>
  </si>
  <si>
    <t>Area of verical structural 50mm strip</t>
  </si>
  <si>
    <t>Area of step</t>
  </si>
  <si>
    <t>Area of one stair</t>
  </si>
  <si>
    <t>Toll Plaza Canopy Painting</t>
  </si>
  <si>
    <t xml:space="preserve">Vertical Column </t>
  </si>
  <si>
    <t>Vertical Column Dia 356mm</t>
  </si>
  <si>
    <t>Vertical Column Base Plate</t>
  </si>
  <si>
    <t>Downtake Drainage Pipe</t>
  </si>
  <si>
    <t>Total Quantity (Sqm)</t>
  </si>
  <si>
    <t>Top Truss Member</t>
  </si>
  <si>
    <t>Top Members</t>
  </si>
  <si>
    <t>Top Support</t>
  </si>
  <si>
    <t xml:space="preserve">Diagonal Truss Member </t>
  </si>
  <si>
    <t xml:space="preserve">Diagonal Member </t>
  </si>
  <si>
    <t>Bottom Truss Member</t>
  </si>
  <si>
    <t>Bottom Members</t>
  </si>
  <si>
    <t>Purlin framming</t>
  </si>
  <si>
    <t xml:space="preserve">Front facia framing-1 </t>
  </si>
  <si>
    <t>Front facia framing-2</t>
  </si>
  <si>
    <t>Total Quantity (Rm)</t>
  </si>
  <si>
    <t>Aluminium Partition Work</t>
  </si>
  <si>
    <t>First floor:</t>
  </si>
  <si>
    <t>Control Room</t>
  </si>
  <si>
    <t>NA</t>
  </si>
  <si>
    <t>Incl.Door</t>
  </si>
  <si>
    <t>Ground Floor:</t>
  </si>
  <si>
    <t>Reception Room</t>
  </si>
  <si>
    <t>Aluminium Repairing work in Building</t>
  </si>
  <si>
    <t>Ground floor:</t>
  </si>
  <si>
    <t>Room-1</t>
  </si>
  <si>
    <t xml:space="preserve">Window </t>
  </si>
  <si>
    <t xml:space="preserve">20% of Original Qty </t>
  </si>
  <si>
    <t>Room-2</t>
  </si>
  <si>
    <t>Room-3</t>
  </si>
  <si>
    <t xml:space="preserve">Side Window </t>
  </si>
  <si>
    <t xml:space="preserve">Front Window </t>
  </si>
  <si>
    <t>Gents Toilet</t>
  </si>
  <si>
    <t>Ventilators</t>
  </si>
  <si>
    <t>POS Room</t>
  </si>
  <si>
    <t>First Floor:</t>
  </si>
  <si>
    <t>Room-4</t>
  </si>
  <si>
    <t>Room-5</t>
  </si>
  <si>
    <t>Room-6</t>
  </si>
  <si>
    <t>Stairs Window</t>
  </si>
  <si>
    <t>Electrical Meter ROOM :</t>
  </si>
  <si>
    <t>LT ROOM :</t>
  </si>
  <si>
    <t>DG Room:</t>
  </si>
  <si>
    <t>MEDICAL AID ROOM :</t>
  </si>
  <si>
    <t>SECURITY ROOM :</t>
  </si>
  <si>
    <t>WEIGH BRIDGE BUILDING</t>
  </si>
  <si>
    <t xml:space="preserve">Back Window </t>
  </si>
  <si>
    <t>HIGHWAY MINI NEST :</t>
  </si>
  <si>
    <t>Total&gt;&gt;&gt;&gt;&gt;&gt;</t>
  </si>
  <si>
    <t xml:space="preserve"> Room-1</t>
  </si>
  <si>
    <t xml:space="preserve"> Room-2</t>
  </si>
  <si>
    <t xml:space="preserve"> Room-3</t>
  </si>
  <si>
    <t xml:space="preserve">Traffic Aid Post </t>
  </si>
  <si>
    <t xml:space="preserve"> Room-4</t>
  </si>
  <si>
    <t xml:space="preserve"> Room-5</t>
  </si>
  <si>
    <t xml:space="preserve"> Room--6</t>
  </si>
  <si>
    <t>Total&gt;&gt;&gt;&gt;</t>
  </si>
  <si>
    <t>New Doors</t>
  </si>
  <si>
    <t>Room 1</t>
  </si>
  <si>
    <t>Room 2</t>
  </si>
  <si>
    <t>Pantry Room</t>
  </si>
  <si>
    <t>Entrance gate</t>
  </si>
  <si>
    <t>Ladies Toilet</t>
  </si>
  <si>
    <t>Public toilet</t>
  </si>
  <si>
    <t>Medical Aid Post</t>
  </si>
  <si>
    <t>Traffic Aid Post</t>
  </si>
  <si>
    <t>Repairing of Doors.</t>
  </si>
  <si>
    <t xml:space="preserve">Door </t>
  </si>
  <si>
    <t>Total&gt;&gt;&gt;&gt;&gt;</t>
  </si>
  <si>
    <t>Booth Repairing</t>
  </si>
  <si>
    <t xml:space="preserve">Portacabin booth </t>
  </si>
  <si>
    <t>B</t>
  </si>
  <si>
    <t>Area(sqm)</t>
  </si>
  <si>
    <t xml:space="preserve">Size of Booth </t>
  </si>
  <si>
    <r>
      <rPr>
        <b/>
        <sz val="9"/>
        <color indexed="8"/>
        <rFont val="Poppins"/>
      </rPr>
      <t xml:space="preserve">Lane Booth Cabin Repair/Rreversible Lane Booth </t>
    </r>
    <r>
      <rPr>
        <sz val="9"/>
        <color indexed="8"/>
        <rFont val="Poppins"/>
      </rPr>
      <t>Repair of booth cabins including ACP sheet &amp; Toughened Glass window with scope including materials , manpowers,Transportations etc.,</t>
    </r>
  </si>
  <si>
    <t>Area of ACP Sheet Side Walls</t>
  </si>
  <si>
    <t>Area of ACP Sheet Roof</t>
  </si>
  <si>
    <t>ACP panel repair including frame etc Consider 30% of total area</t>
  </si>
  <si>
    <t>Area of ACP Sheet Front/Back Walls upper</t>
  </si>
  <si>
    <t>Glass Repair/Replacement including frame etc Consider 20% of total area</t>
  </si>
  <si>
    <t xml:space="preserve"> BHS</t>
  </si>
  <si>
    <t>Area of ACP Sheet Front/Back Walls lower</t>
  </si>
  <si>
    <t>Total ACP Sheet Area</t>
  </si>
  <si>
    <t>Area of Glass Panel</t>
  </si>
  <si>
    <t>Area of Glass Panel both ends</t>
  </si>
  <si>
    <t>Total Glass area</t>
  </si>
  <si>
    <t>Reversible Booth</t>
  </si>
  <si>
    <t>Area of ACP Sheet both ends</t>
  </si>
  <si>
    <t>Work Station and Storage</t>
  </si>
  <si>
    <t>Fabrication of work station</t>
  </si>
  <si>
    <t>Fabrication and Fixing of Work station 1st Floor maintenance room</t>
  </si>
  <si>
    <t>Fabrication and Fixing of Work station Ground Floor admin room</t>
  </si>
  <si>
    <t>Storage cabinet</t>
  </si>
  <si>
    <t>Fabrication and Fixing of Storage cabinet 1st Floor maintenance room</t>
  </si>
  <si>
    <t xml:space="preserve">Storage Almirah </t>
  </si>
  <si>
    <t>Fabrication and Fixing of Storage Almirah of full lenth 1st Floor maintenance room and Ground Floor</t>
  </si>
  <si>
    <t>Measurement of Signboards</t>
  </si>
  <si>
    <r>
      <rPr>
        <b/>
        <sz val="9"/>
        <color indexed="8"/>
        <rFont val="Poppins"/>
      </rPr>
      <t>Fastage lane Reflective sticker only</t>
    </r>
    <r>
      <rPr>
        <sz val="9"/>
        <color indexed="8"/>
        <rFont val="Poppins"/>
      </rPr>
      <t>-Supply and fixing of Retro reflective sticker TYPE 11 The scope includes crane charges during fixing on canopy , materials, manpower , ideal charges if any etc, Route Marker NH30 sticker only</t>
    </r>
  </si>
  <si>
    <r>
      <rPr>
        <b/>
        <sz val="9"/>
        <color indexed="8"/>
        <rFont val="Poppins"/>
      </rPr>
      <t>Public Toilet Sign Board with NHAI Logo and Route marker sign-</t>
    </r>
    <r>
      <rPr>
        <sz val="9"/>
        <color indexed="8"/>
        <rFont val="Poppins"/>
      </rPr>
      <t>Providing and fixing of retro- reflectorised cautionary, mandatory and informatory sign as per IRC :67 made of TYPE 11  (Make : 3M Only) reflective sheeting vide clause 801.3 /IRC, fixed over aluminium sheeting, 1.5 mm thick and fixed in toilet building walls.</t>
    </r>
  </si>
  <si>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</si>
  <si>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r>
      <rPr>
        <b/>
        <sz val="9"/>
        <color indexed="8"/>
        <rFont val="Poppins"/>
      </rPr>
      <t>Supply &amp; fixing of Two way Hazard Marker</t>
    </r>
    <r>
      <rPr>
        <sz val="9"/>
        <color indexed="8"/>
        <rFont val="Poppins"/>
      </rPr>
      <t xml:space="preserve"> Size- 950*450 with Either side sign Size-600*600 with base plate 450 *450 mm anchoring on Concrete</t>
    </r>
  </si>
  <si>
    <r>
      <rPr>
        <b/>
        <sz val="9"/>
        <color indexed="8"/>
        <rFont val="Poppins"/>
      </rPr>
      <t>Madatory Signbaord Stop</t>
    </r>
    <r>
      <rPr>
        <sz val="9"/>
        <color indexed="8"/>
        <rFont val="Poppins"/>
      </rPr>
      <t xml:space="preserve"> : OCTAGONAL Size : 750 mm</t>
    </r>
  </si>
  <si>
    <t>Supply of Flexible deleanators for Bike lane</t>
  </si>
  <si>
    <t>TOLLPLAZA ADMIN BUILDING (INTERIOR)</t>
  </si>
  <si>
    <t>TOLLPLAZA ADMIN BUILDING (EXTERIOR)</t>
  </si>
  <si>
    <t>Admin Building Painting</t>
  </si>
  <si>
    <t>Side Wall</t>
  </si>
  <si>
    <t>Front Wall</t>
  </si>
  <si>
    <t>Parapet Wall</t>
  </si>
  <si>
    <t>Ceilling</t>
  </si>
  <si>
    <t>Control Room Glass Area Deduction</t>
  </si>
  <si>
    <t>Door Deduction</t>
  </si>
  <si>
    <t>Chajja</t>
  </si>
  <si>
    <t>Window Deduction</t>
  </si>
  <si>
    <t>Chajja Above Window</t>
  </si>
  <si>
    <t>Cashup Room</t>
  </si>
  <si>
    <t>Back &amp; Front Wall</t>
  </si>
  <si>
    <t>Control Room Side Walls</t>
  </si>
  <si>
    <t>Window Deductions</t>
  </si>
  <si>
    <t>Gallery</t>
  </si>
  <si>
    <t>Wall</t>
  </si>
  <si>
    <t>Ventilator Deductions</t>
  </si>
  <si>
    <t>Room 3</t>
  </si>
  <si>
    <t>Door Deductions</t>
  </si>
  <si>
    <t>Front &amp; Back Wall</t>
  </si>
  <si>
    <t>Electrical Meter ROOM PAINTING:</t>
  </si>
  <si>
    <t>Back Wall</t>
  </si>
  <si>
    <t>LT ROOM PAINTING:</t>
  </si>
  <si>
    <t>Reception Area</t>
  </si>
  <si>
    <t>Front Window Deduction</t>
  </si>
  <si>
    <t>DG ROOM PAINTING:</t>
  </si>
  <si>
    <t>Opening Deduction</t>
  </si>
  <si>
    <t>Side Window Deduction</t>
  </si>
  <si>
    <t>Front Column</t>
  </si>
  <si>
    <t>Pantry Area</t>
  </si>
  <si>
    <t>Front Upper Chajja</t>
  </si>
  <si>
    <t>SECURITY ROOM PAINTING:</t>
  </si>
  <si>
    <t>Toilet Gents</t>
  </si>
  <si>
    <t>Gallery wall</t>
  </si>
  <si>
    <t>Gallery Ceilling</t>
  </si>
  <si>
    <t>Toilet Ladies</t>
  </si>
  <si>
    <t>MEDICAL AID ROOM PAINTING:</t>
  </si>
  <si>
    <t>Gents Toilet Outside</t>
  </si>
  <si>
    <t>Ventilator Deduction</t>
  </si>
  <si>
    <t>Side wall</t>
  </si>
  <si>
    <t>Front &amp; back wall</t>
  </si>
  <si>
    <t>WEIGH BRIDGE BUILDING PAINTING:</t>
  </si>
  <si>
    <t>Ceiling</t>
  </si>
  <si>
    <t>HIGHWAY MINI NEST PAINTING:</t>
  </si>
  <si>
    <t>Front wall</t>
  </si>
  <si>
    <t>Back wall</t>
  </si>
  <si>
    <t>Column</t>
  </si>
  <si>
    <t>Back Window Deduction</t>
  </si>
  <si>
    <t>Beam</t>
  </si>
  <si>
    <t>TOILET BLOCK PAINTING:</t>
  </si>
  <si>
    <t>Back Side Wall</t>
  </si>
  <si>
    <t>Chajja Vent</t>
  </si>
  <si>
    <t>Chajja Front Door</t>
  </si>
  <si>
    <t>Chajja Side Wall Door</t>
  </si>
  <si>
    <t>Exhaust Chajja</t>
  </si>
  <si>
    <t>Door Deduction (Gents)</t>
  </si>
  <si>
    <t>Ventilator Area Deduction</t>
  </si>
  <si>
    <t>Ventilator Back Side Area Deduction</t>
  </si>
  <si>
    <t>Exhaust Area Deduction</t>
  </si>
  <si>
    <t>Water Cooler Area Deduction</t>
  </si>
  <si>
    <t>Side Door Deduction</t>
  </si>
  <si>
    <t>Back Door Deduction</t>
  </si>
  <si>
    <t>Transformer Platform:</t>
  </si>
  <si>
    <t>Side Walls</t>
  </si>
  <si>
    <t>XI</t>
  </si>
  <si>
    <t>DG Platform:</t>
  </si>
  <si>
    <t>Total External Painting (Sq.m)</t>
  </si>
  <si>
    <t xml:space="preserve">UPS Room </t>
  </si>
  <si>
    <t xml:space="preserve">Server Room </t>
  </si>
  <si>
    <t>Staircase Area</t>
  </si>
  <si>
    <t>Back Wall &amp; Front Wall</t>
  </si>
  <si>
    <t>Physical Disable Toilet</t>
  </si>
  <si>
    <t>Gents Toilet Side Wall</t>
  </si>
  <si>
    <t>Gents Toilet Front &amp; Back Wall</t>
  </si>
  <si>
    <t>Partitions Walls</t>
  </si>
  <si>
    <t>Ladies Toilet Partition Wall</t>
  </si>
  <si>
    <t>NORMAL BOOTH PAINTING:</t>
  </si>
  <si>
    <t>wall</t>
  </si>
  <si>
    <t>XII</t>
  </si>
  <si>
    <t>REVERSABLE BOOTH PAINTING:</t>
  </si>
  <si>
    <t>XIII</t>
  </si>
  <si>
    <t xml:space="preserve">Tunnel Painting </t>
  </si>
  <si>
    <t xml:space="preserve">Wall </t>
  </si>
  <si>
    <t>Total Exterior Painting (Sq.m)</t>
  </si>
  <si>
    <t xml:space="preserve">Electric Pole Painting </t>
  </si>
  <si>
    <t>Electric Pole painting</t>
  </si>
  <si>
    <t>Painting Of transformer and Transmission Electic pole Of Toll plaza premises upto 11 m Height</t>
  </si>
  <si>
    <t>Edge Plants for beautification</t>
  </si>
  <si>
    <t>Plants for Toll Island</t>
  </si>
  <si>
    <t>Supply and fixing of ficus plants 4 feet height with jigo pots 20 inches including labour, material transporation etc.</t>
  </si>
  <si>
    <t>Executive In door Plants</t>
  </si>
  <si>
    <t>Executive Out door Plants</t>
  </si>
  <si>
    <t>Supply of fox tail palm trees for entrance/exit gates</t>
  </si>
  <si>
    <t xml:space="preserve">False Ceiling </t>
  </si>
  <si>
    <t xml:space="preserve">First Floor </t>
  </si>
  <si>
    <t>Ceiling-1</t>
  </si>
  <si>
    <t>Ceiling-2</t>
  </si>
  <si>
    <t>Ground Floor</t>
  </si>
  <si>
    <t>Cash Room</t>
  </si>
  <si>
    <t>Total</t>
  </si>
  <si>
    <t>NJB</t>
  </si>
  <si>
    <t>BBS</t>
  </si>
  <si>
    <t>Sn</t>
  </si>
  <si>
    <t>Bar Mark</t>
  </si>
  <si>
    <t>Dia of bar</t>
  </si>
  <si>
    <t>Unit Weight</t>
  </si>
  <si>
    <t>Shape/Size</t>
  </si>
  <si>
    <t>Space</t>
  </si>
  <si>
    <t>Cutting Length</t>
  </si>
  <si>
    <t>Total Length</t>
  </si>
  <si>
    <t>Qty( Kg)</t>
  </si>
  <si>
    <t>Mk-1</t>
  </si>
  <si>
    <t>Casting of RCC new jercy crash barrier for traffic channelization at Toll plaza . (M-25)</t>
  </si>
  <si>
    <t>MK-2</t>
  </si>
  <si>
    <t>As per drwg</t>
  </si>
  <si>
    <t>Steel</t>
  </si>
  <si>
    <t>Hook</t>
  </si>
  <si>
    <t>Precast Boundary wall</t>
  </si>
  <si>
    <t>Electrical yard AND PLAZA PREMISES</t>
  </si>
  <si>
    <t>Provding and fixing of diamond type fencing in plaza premises &amp; transformer and electric area fencing</t>
  </si>
  <si>
    <t>MS Round Pipe Railing in plaza premises in damaged/gap location including painting</t>
  </si>
  <si>
    <t>Supply of MS round PIPE of 50 mm dia for railing including enamel painting two coats</t>
  </si>
  <si>
    <t>MS Gate</t>
  </si>
  <si>
    <t>Toll plaza Entry /Exit gates</t>
  </si>
  <si>
    <t>Excavation in granular and all types of soils</t>
  </si>
  <si>
    <t>PCC for Open foundation work M-15</t>
  </si>
  <si>
    <t>Column wall footing- M25</t>
  </si>
  <si>
    <t>Column wall RCC -M25</t>
  </si>
  <si>
    <t>Considering 2 % of steel concrete qty.</t>
  </si>
  <si>
    <t>Supply of MS gate for Entry/Exit and DG room</t>
  </si>
  <si>
    <t>Entry gate Bareilly End (clear Opening size 6.5m *2.8 m)</t>
  </si>
  <si>
    <t>Considering weight 85kg/sqm.</t>
  </si>
  <si>
    <t xml:space="preserve"> Main Centre Entry Gate Toll plaza (Clear Opening size 7.5m *2.8 m)</t>
  </si>
  <si>
    <t>c</t>
  </si>
  <si>
    <t>Entry Gate Sitapur End (Clear Opening size 5.5m *2.8 m)</t>
  </si>
  <si>
    <t>d</t>
  </si>
  <si>
    <t>DG Set Room (Clear Opening size 4.5m *2.8 m)</t>
  </si>
  <si>
    <t>e</t>
  </si>
  <si>
    <t>Entry gate Bareilly End (clear Opening size 5m *2.8 m)</t>
  </si>
  <si>
    <t>f</t>
  </si>
  <si>
    <t>Entry Gate Sitapur End (Clear Opening size 5m *2.8 m)</t>
  </si>
  <si>
    <t>Total Weight In Kg.&gt;&gt;&gt;&gt;</t>
  </si>
  <si>
    <t>Providing and Fixing of Tiles</t>
  </si>
  <si>
    <t>Chequerred Tiles</t>
  </si>
  <si>
    <t>Providing and fixing of Terra Cotta Chequerred TilesTiles in Drain cum footpath and Public toilet Area.</t>
  </si>
  <si>
    <t>Providing and fixing of Terra Cotta Chequerred TilesTilesin Drain cum footpath and Public toilet Area.</t>
  </si>
  <si>
    <t>Heat Resistance Tiles</t>
  </si>
  <si>
    <t>Providing and fixing of Heat Resistence Tiles in plaza admin building with scope including materials , manpower, transportations etc.,</t>
  </si>
  <si>
    <t>Terrace Area</t>
  </si>
  <si>
    <t>Floor Tiles</t>
  </si>
  <si>
    <t>Providing and fixing of Floor Tiles with scope including materials , manpower, transportations etc.,</t>
  </si>
  <si>
    <t>Gents tolet Admin Building</t>
  </si>
  <si>
    <t>Normal Booth Floor Tiles</t>
  </si>
  <si>
    <t>Reversable Booth Floor Tiles</t>
  </si>
  <si>
    <t xml:space="preserve">Unforseen </t>
  </si>
  <si>
    <t>Supply &amp; Fixing of Granite Stone Furnished with moulding (polished) above 0.50 sqm slab 18mm thick as per standard specifications.</t>
  </si>
  <si>
    <t>Sill (Windows)</t>
  </si>
  <si>
    <t>Jamb (Windows)</t>
  </si>
  <si>
    <t>Details of Electrical equipments at MaigalganjToll Plaza</t>
  </si>
  <si>
    <t>S. No.</t>
  </si>
  <si>
    <t>Description</t>
  </si>
  <si>
    <t>Remarks</t>
  </si>
  <si>
    <t>First Floor</t>
  </si>
  <si>
    <t>Room No. 1 (First Floor)</t>
  </si>
  <si>
    <t>Item</t>
  </si>
  <si>
    <t>Actual Qty</t>
  </si>
  <si>
    <t>Required Qty</t>
  </si>
  <si>
    <t>8 Modular Switch Board</t>
  </si>
  <si>
    <t>1 New Required</t>
  </si>
  <si>
    <t>Ceiling Fan</t>
  </si>
  <si>
    <t>6 Modular Switch Board</t>
  </si>
  <si>
    <t>Available</t>
  </si>
  <si>
    <t>Air Conditioner</t>
  </si>
  <si>
    <t>16 Amp Switch</t>
  </si>
  <si>
    <t>12 Modular Switch Board</t>
  </si>
  <si>
    <t>16 Amp Socket</t>
  </si>
  <si>
    <t>6 Amp Switch</t>
  </si>
  <si>
    <t>6 Amp Socket</t>
  </si>
  <si>
    <t>25amp Modular MCB</t>
  </si>
  <si>
    <t>Wiring required</t>
  </si>
  <si>
    <t>Regulator</t>
  </si>
  <si>
    <t>Batten Light</t>
  </si>
  <si>
    <t xml:space="preserve">Requirement </t>
  </si>
  <si>
    <t xml:space="preserve">Blank </t>
  </si>
  <si>
    <t xml:space="preserve">Batten Light </t>
  </si>
  <si>
    <t>Room No. 2 (First Floor)</t>
  </si>
  <si>
    <t>Blank</t>
  </si>
  <si>
    <t>Wiring &amp; Conduiting</t>
  </si>
  <si>
    <t>Mtr</t>
  </si>
  <si>
    <t>Metal box (8x6)</t>
  </si>
  <si>
    <t>Round electrical Junction Box</t>
  </si>
  <si>
    <t>Copper wire 1.5 sqmm ( Red) ( Length- 90 m)</t>
  </si>
  <si>
    <t>Copper wire 2.5 sqmm ( Red) (Length-90 m.)</t>
  </si>
  <si>
    <t>Supply of Flexible round Electrical conduit Pipe 25 MM ( Unforseen Wiring)</t>
  </si>
  <si>
    <t>Supply of Electrical conduit Tube 25 MM ( Unforseen Wiring)</t>
  </si>
  <si>
    <t xml:space="preserve">Air Conditioner </t>
  </si>
  <si>
    <t>Requirement</t>
  </si>
  <si>
    <t xml:space="preserve">Wiring + Conduit </t>
  </si>
  <si>
    <t>-</t>
  </si>
  <si>
    <t>8m Requirement</t>
  </si>
  <si>
    <t xml:space="preserve"> 25amp Modular MCB</t>
  </si>
  <si>
    <t>Control Room No. 3 (First Floor)</t>
  </si>
  <si>
    <t>3 Modular Switch Board</t>
  </si>
  <si>
    <t>2 Missing</t>
  </si>
  <si>
    <t xml:space="preserve">Air Conditioner  </t>
  </si>
  <si>
    <t>3 Requirement</t>
  </si>
  <si>
    <t>Wiring + Conduit</t>
  </si>
  <si>
    <t>18m Requirement</t>
  </si>
  <si>
    <t>Metal Box (8x6)</t>
  </si>
  <si>
    <t>Room no. 4 (First Floor)</t>
  </si>
  <si>
    <t>Wiring Required</t>
  </si>
  <si>
    <t xml:space="preserve"> </t>
  </si>
  <si>
    <t>Room No. 5 (First Floor)</t>
  </si>
  <si>
    <t xml:space="preserve">8 Modular Switch Board </t>
  </si>
  <si>
    <t>Air Conditioner + Wiring + Conduit</t>
  </si>
  <si>
    <t>1 Damage</t>
  </si>
  <si>
    <t xml:space="preserve">16 Amp Switch </t>
  </si>
  <si>
    <t xml:space="preserve">6 Amp Switch </t>
  </si>
  <si>
    <t>Room No. 6 (ATMS Room)</t>
  </si>
  <si>
    <t xml:space="preserve">12 Modular Switch Board </t>
  </si>
  <si>
    <t>7m Requirement</t>
  </si>
  <si>
    <t>UPS Room (ATMS First floor)</t>
  </si>
  <si>
    <t xml:space="preserve"> Wiring + Conduit</t>
  </si>
  <si>
    <t>5m Requirement</t>
  </si>
  <si>
    <t>Required</t>
  </si>
  <si>
    <t>UPS Room (TMS)</t>
  </si>
  <si>
    <t>4m Requirement</t>
  </si>
  <si>
    <t>Gallery - First Floor</t>
  </si>
  <si>
    <t>Room -1 (Ground Floor)</t>
  </si>
  <si>
    <t>10m Requirement</t>
  </si>
  <si>
    <t>Additional Required</t>
  </si>
  <si>
    <t>7m Additional Required</t>
  </si>
  <si>
    <t>GI Metal Box 12 Module</t>
  </si>
  <si>
    <t>Wall mounted Fan</t>
  </si>
  <si>
    <t>Room No. 2 (Ground Floor)</t>
  </si>
  <si>
    <t>32 Amp MCB</t>
  </si>
  <si>
    <t>4 Modular Switch Board</t>
  </si>
  <si>
    <t>6 Amp Switch Board</t>
  </si>
  <si>
    <t>7m Required</t>
  </si>
  <si>
    <t>63 Amp MCB</t>
  </si>
  <si>
    <t>Ceiling Light</t>
  </si>
  <si>
    <t>LED Bulb + Holder</t>
  </si>
  <si>
    <t>Wall Mounted Fan</t>
  </si>
  <si>
    <t>MCB Box</t>
  </si>
  <si>
    <t>Room No. 3 (Ground Floor)</t>
  </si>
  <si>
    <t>12m Requirement</t>
  </si>
  <si>
    <t>Reception Hall</t>
  </si>
  <si>
    <t>9m Requirement</t>
  </si>
  <si>
    <t>Gallery (Ground Floor)</t>
  </si>
  <si>
    <t xml:space="preserve">Pantry Room </t>
  </si>
  <si>
    <t xml:space="preserve">Cash Room </t>
  </si>
  <si>
    <t>Small Size</t>
  </si>
  <si>
    <t>Wall mounted Ceiling Fan</t>
  </si>
  <si>
    <t>Men's Toilet (Inner Building)</t>
  </si>
  <si>
    <t>LED Bulb</t>
  </si>
  <si>
    <t>2 Bulb Damage</t>
  </si>
  <si>
    <t>Women's Toilet (Inner Building)</t>
  </si>
  <si>
    <t>Men's Toilet (Outer Building)</t>
  </si>
  <si>
    <t>Bulb Missing</t>
  </si>
  <si>
    <t>16 Amp switch</t>
  </si>
  <si>
    <t>16 Amp socket</t>
  </si>
  <si>
    <t xml:space="preserve">Ceiling Fan </t>
  </si>
  <si>
    <t>Wall Mounted</t>
  </si>
  <si>
    <t xml:space="preserve">13m Requirement </t>
  </si>
  <si>
    <t>Indicator</t>
  </si>
  <si>
    <t>LED Bulb Holder</t>
  </si>
  <si>
    <t>Guard Room</t>
  </si>
  <si>
    <t>25 Amp MCB</t>
  </si>
  <si>
    <t>DG Room</t>
  </si>
  <si>
    <t>11m Additional Required</t>
  </si>
  <si>
    <t>LT Room</t>
  </si>
  <si>
    <t>Holder</t>
  </si>
  <si>
    <t>Meter Room</t>
  </si>
  <si>
    <t>Toilet Block BHS</t>
  </si>
  <si>
    <t>Tube Light</t>
  </si>
  <si>
    <t>MCB Box Missing</t>
  </si>
  <si>
    <t>Static Weigh Bridge BHS</t>
  </si>
  <si>
    <t>Highway Mini Nest LHS</t>
  </si>
  <si>
    <t>Booth</t>
  </si>
  <si>
    <t>Flexible Pipe</t>
  </si>
  <si>
    <t>Plumbing and Sanitary Items</t>
  </si>
  <si>
    <t xml:space="preserve">PVC Pipe 1" </t>
  </si>
  <si>
    <t>Feet.</t>
  </si>
  <si>
    <t>Will be used as per unforseen requirement</t>
  </si>
  <si>
    <t xml:space="preserve">PVC Pipe 2" </t>
  </si>
  <si>
    <t xml:space="preserve">Down Take PVC pipe 100 mm dia for toll plaza admin and toilet blocks , Traffic aid post Guard Room,DG Room etc with elbow </t>
  </si>
  <si>
    <r>
      <t>Repairing of water leackage in toilet blocks, admin building &amp; pantry</t>
    </r>
    <r>
      <rPr>
        <sz val="9"/>
        <color indexed="8"/>
        <rFont val="Poppins"/>
      </rPr>
      <t xml:space="preserve"> as per requirements including all manpower &amp; consumable charges.(30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</si>
</sst>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
    <numFmt numFmtId="166" formatCode="0.0"/>
    <numFmt numFmtId="167" formatCode="_(* #,##0.000_);_(* \(#,##0.000\);_(* &quot;-&quot;??_);_(@_)"/>
    <numFmt numFmtId="168" formatCode="_(* #,##0_);_(* \(#,##0\);_(* &quot;-&quot;??_);_(@_)"/>
  </numFmts>
  <fonts count="28" x14ac:knownFonts="1">
    <font>
      <sz val="11"/>
      <color theme="1"/>
      <name val="Calibri"/>
      <family val="2"/>
      <scheme val="minor"/>
    </font>
    <font>
      <sz val="10"/>
      <name val="Poppins"/>
    </font>
    <font>
      <sz val="10"/>
      <color indexed="8"/>
      <name val="Poppins"/>
    </font>
    <font>
      <b/>
      <sz val="10"/>
      <name val="Poppins"/>
    </font>
    <font>
      <b/>
      <sz val="10"/>
      <color indexed="8"/>
      <name val="Poppins"/>
    </font>
    <font>
      <sz val="10"/>
      <name val="Arial"/>
      <family val="2"/>
    </font>
    <font>
      <b/>
      <u/>
      <sz val="10"/>
      <color indexed="8"/>
      <name val="Poppins"/>
    </font>
    <font>
      <sz val="11"/>
      <color indexed="8"/>
      <name val="Poppins"/>
    </font>
    <font>
      <b/>
      <sz val="11"/>
      <color indexed="8"/>
      <name val="Poppins"/>
    </font>
    <font>
      <b/>
      <sz val="9"/>
      <color indexed="8"/>
      <name val="Poppins"/>
    </font>
    <font>
      <b/>
      <u/>
      <sz val="9"/>
      <color indexed="8"/>
      <name val="Poppins"/>
    </font>
    <font>
      <sz val="9"/>
      <color indexed="8"/>
      <name val="Poppins"/>
    </font>
    <font>
      <b/>
      <u/>
      <sz val="10"/>
      <name val="Poppins"/>
    </font>
    <font>
      <sz val="9"/>
      <name val="Poppins"/>
    </font>
    <font>
      <b/>
      <sz val="9"/>
      <name val="Poppins"/>
    </font>
    <font>
      <sz val="11"/>
      <color theme="1"/>
      <name val="Calibri"/>
      <family val="2"/>
      <scheme val="minor"/>
    </font>
    <font>
      <sz val="10"/>
      <color rgb="FF000000"/>
      <name val="Times New Roman"/>
      <family val="1"/>
    </font>
    <font>
      <sz val="10"/>
      <color theme="1"/>
      <name val="Poppins"/>
    </font>
    <font>
      <b/>
      <sz val="10"/>
      <color theme="1"/>
      <name val="Poppins"/>
    </font>
    <font>
      <sz val="11"/>
      <color theme="1"/>
      <name val="Poppins"/>
    </font>
    <font>
      <b/>
      <u/>
      <sz val="10"/>
      <color theme="1"/>
      <name val="Poppins"/>
    </font>
    <font>
      <sz val="9"/>
      <color theme="1"/>
      <name val="Poppins"/>
    </font>
    <font>
      <sz val="10"/>
      <color rgb="FF000000"/>
      <name val="Poppins"/>
    </font>
    <font>
      <sz val="10"/>
      <color rgb="FFEE0000"/>
      <name val="Poppins"/>
    </font>
    <font>
      <b/>
      <sz val="9"/>
      <color theme="1"/>
      <name val="Poppins"/>
    </font>
    <font>
      <i/>
      <sz val="9"/>
      <color theme="1"/>
      <name val="Poppins"/>
    </font>
    <font>
      <b/>
      <u/>
      <sz val="9"/>
      <color theme="1"/>
      <name val="Poppins"/>
    </font>
    <font>
      <b/>
      <sz val="10"/>
      <color theme="0"/>
      <name val="Poppins"/>
    </font>
  </fonts>
  <fills count="12">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5" fillId="0" borderId="0" applyFont="0" applyFill="0" applyBorder="0" applyAlignment="0" applyProtection="0"/>
    <xf numFmtId="0" fontId="5" fillId="0" borderId="0"/>
    <xf numFmtId="0" fontId="16" fillId="0" borderId="0"/>
    <xf numFmtId="0" fontId="15" fillId="0" borderId="0"/>
  </cellStyleXfs>
  <cellXfs count="410">
    <xf numFmtId="0" fontId="0" fillId="0" borderId="0" xfId="0"/>
    <xf numFmtId="0" fontId="17" fillId="0" borderId="1" xfId="0" applyFont="1" applyBorder="1" applyAlignment="1">
      <alignment vertical="center" wrapText="1"/>
    </xf>
    <xf numFmtId="0" fontId="17" fillId="0" borderId="0" xfId="0" applyFont="1" applyAlignment="1">
      <alignment vertical="center"/>
    </xf>
    <xf numFmtId="0" fontId="18" fillId="2" borderId="1" xfId="0" applyFont="1" applyFill="1" applyBorder="1" applyAlignment="1">
      <alignment horizontal="center" vertical="center" wrapText="1"/>
    </xf>
    <xf numFmtId="2" fontId="17" fillId="0" borderId="1" xfId="0" applyNumberFormat="1" applyFont="1" applyBorder="1" applyAlignment="1">
      <alignment horizontal="center" vertical="center"/>
    </xf>
    <xf numFmtId="164" fontId="17" fillId="0" borderId="1" xfId="1" applyFont="1" applyBorder="1" applyAlignment="1">
      <alignment horizontal="center" vertical="center"/>
    </xf>
    <xf numFmtId="0" fontId="17" fillId="0" borderId="0" xfId="0" applyFont="1"/>
    <xf numFmtId="0" fontId="17" fillId="0" borderId="1" xfId="0" applyFont="1" applyBorder="1" applyAlignment="1">
      <alignment wrapText="1"/>
    </xf>
    <xf numFmtId="0" fontId="17" fillId="3" borderId="1" xfId="0" applyFont="1" applyFill="1" applyBorder="1" applyAlignment="1">
      <alignment vertical="center"/>
    </xf>
    <xf numFmtId="0" fontId="17" fillId="0" borderId="1" xfId="0" applyFont="1" applyBorder="1" applyAlignment="1">
      <alignment vertical="center"/>
    </xf>
    <xf numFmtId="0" fontId="18" fillId="3" borderId="1" xfId="0" applyFont="1" applyFill="1" applyBorder="1" applyAlignment="1">
      <alignment vertical="center" wrapText="1"/>
    </xf>
    <xf numFmtId="0" fontId="3" fillId="3" borderId="1" xfId="0" applyFont="1" applyFill="1" applyBorder="1" applyAlignment="1">
      <alignment vertical="center" wrapText="1"/>
    </xf>
    <xf numFmtId="0" fontId="17" fillId="3" borderId="1" xfId="0" applyFont="1" applyFill="1" applyBorder="1" applyAlignment="1">
      <alignment vertical="center" wrapText="1"/>
    </xf>
    <xf numFmtId="166" fontId="17" fillId="0" borderId="1" xfId="0" applyNumberFormat="1"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wrapText="1"/>
    </xf>
    <xf numFmtId="0" fontId="2" fillId="3" borderId="1" xfId="0" applyFont="1" applyFill="1" applyBorder="1" applyAlignment="1">
      <alignment vertical="center" wrapText="1"/>
    </xf>
    <xf numFmtId="166" fontId="17" fillId="3" borderId="1" xfId="0" applyNumberFormat="1" applyFont="1" applyFill="1" applyBorder="1" applyAlignment="1">
      <alignment horizontal="center" vertical="center"/>
    </xf>
    <xf numFmtId="0" fontId="18" fillId="0" borderId="0" xfId="0" applyFont="1" applyAlignment="1">
      <alignment horizontal="center" vertical="center"/>
    </xf>
    <xf numFmtId="0" fontId="17" fillId="0" borderId="0" xfId="0" applyFont="1" applyAlignment="1">
      <alignment vertical="center" wrapText="1"/>
    </xf>
    <xf numFmtId="0" fontId="1" fillId="0" borderId="45" xfId="3" applyFont="1" applyBorder="1" applyAlignment="1">
      <alignment horizontal="left" vertical="center" wrapText="1"/>
    </xf>
    <xf numFmtId="0" fontId="17" fillId="3" borderId="1" xfId="0" applyFont="1" applyFill="1" applyBorder="1" applyAlignment="1">
      <alignment horizontal="center" vertical="center"/>
    </xf>
    <xf numFmtId="0" fontId="17" fillId="0" borderId="1" xfId="0" applyFont="1" applyBorder="1" applyAlignment="1">
      <alignment horizontal="left" vertical="center" wrapText="1"/>
    </xf>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top" wrapText="1"/>
    </xf>
    <xf numFmtId="0" fontId="18" fillId="4" borderId="1" xfId="0" applyFont="1" applyFill="1" applyBorder="1" applyAlignment="1">
      <alignment horizontal="center" vertical="center"/>
    </xf>
    <xf numFmtId="164" fontId="18" fillId="4" borderId="1" xfId="1" applyFont="1" applyFill="1" applyBorder="1" applyAlignment="1">
      <alignment horizontal="center"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4" borderId="1" xfId="0" applyFont="1" applyFill="1" applyBorder="1" applyAlignment="1">
      <alignment vertical="top" wrapText="1"/>
    </xf>
    <xf numFmtId="164" fontId="17" fillId="4" borderId="1" xfId="1" applyFont="1" applyFill="1" applyBorder="1" applyAlignment="1">
      <alignment horizontal="center" vertical="center"/>
    </xf>
    <xf numFmtId="2" fontId="17" fillId="4" borderId="1" xfId="0" applyNumberFormat="1" applyFont="1" applyFill="1" applyBorder="1" applyAlignment="1">
      <alignment horizontal="center" vertical="center"/>
    </xf>
    <xf numFmtId="164" fontId="17" fillId="3" borderId="1" xfId="1" applyFont="1" applyFill="1" applyBorder="1" applyAlignment="1">
      <alignment horizontal="center" vertical="center"/>
    </xf>
    <xf numFmtId="0" fontId="17" fillId="0" borderId="1" xfId="4" applyFont="1" applyBorder="1" applyAlignment="1">
      <alignment vertical="top" wrapText="1"/>
    </xf>
    <xf numFmtId="168" fontId="17" fillId="0" borderId="1" xfId="1" applyNumberFormat="1" applyFont="1" applyBorder="1" applyAlignment="1">
      <alignment horizontal="center" vertical="center"/>
    </xf>
    <xf numFmtId="0" fontId="19" fillId="0" borderId="1" xfId="4" applyFont="1" applyBorder="1" applyAlignment="1">
      <alignment vertical="top" wrapText="1"/>
    </xf>
    <xf numFmtId="0" fontId="20" fillId="0" borderId="1" xfId="0" applyFont="1" applyBorder="1" applyAlignment="1">
      <alignment vertical="top" wrapText="1"/>
    </xf>
    <xf numFmtId="0" fontId="21" fillId="0" borderId="1" xfId="4" applyFont="1" applyBorder="1" applyAlignment="1">
      <alignment vertical="top" wrapText="1"/>
    </xf>
    <xf numFmtId="0" fontId="21" fillId="0" borderId="1" xfId="0" applyFont="1" applyBorder="1" applyAlignment="1">
      <alignment vertical="top" wrapText="1"/>
    </xf>
    <xf numFmtId="0" fontId="1" fillId="0" borderId="1" xfId="0" applyFont="1" applyBorder="1" applyAlignment="1">
      <alignment vertical="center" wrapText="1"/>
    </xf>
    <xf numFmtId="0" fontId="22" fillId="0" borderId="1" xfId="0" applyFont="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vertical="center"/>
    </xf>
    <xf numFmtId="0" fontId="23" fillId="0" borderId="0" xfId="0" applyFont="1" applyAlignment="1">
      <alignment vertical="center"/>
    </xf>
    <xf numFmtId="0" fontId="2" fillId="3" borderId="1" xfId="0" applyFont="1" applyFill="1" applyBorder="1" applyAlignment="1">
      <alignment wrapText="1"/>
    </xf>
    <xf numFmtId="0" fontId="2" fillId="0" borderId="1" xfId="0" applyFont="1" applyBorder="1" applyAlignment="1">
      <alignment wrapText="1"/>
    </xf>
    <xf numFmtId="0" fontId="17" fillId="0" borderId="2" xfId="0" applyFont="1" applyBorder="1" applyAlignment="1">
      <alignment vertical="center"/>
    </xf>
    <xf numFmtId="0" fontId="18" fillId="0" borderId="1" xfId="0" applyFont="1" applyBorder="1" applyAlignment="1">
      <alignment horizontal="left" vertical="center" wrapText="1"/>
    </xf>
    <xf numFmtId="168" fontId="17" fillId="0" borderId="1" xfId="1" applyNumberFormat="1" applyFont="1" applyBorder="1" applyAlignment="1">
      <alignment vertical="center"/>
    </xf>
    <xf numFmtId="164" fontId="18" fillId="0" borderId="0" xfId="1" applyFont="1" applyAlignment="1">
      <alignment vertical="center"/>
    </xf>
    <xf numFmtId="43" fontId="18" fillId="0" borderId="0" xfId="0" applyNumberFormat="1" applyFont="1"/>
    <xf numFmtId="0" fontId="18" fillId="0" borderId="0" xfId="0" applyFont="1" applyAlignment="1">
      <alignment horizontal="right"/>
    </xf>
    <xf numFmtId="0" fontId="21" fillId="0" borderId="1" xfId="0" applyFont="1" applyBorder="1" applyAlignment="1">
      <alignment horizontal="center"/>
    </xf>
    <xf numFmtId="0" fontId="21" fillId="0" borderId="1" xfId="0" applyFont="1" applyBorder="1" applyAlignment="1">
      <alignment horizontal="center" vertical="center"/>
    </xf>
    <xf numFmtId="0" fontId="24" fillId="0" borderId="0" xfId="0" applyFont="1" applyAlignment="1">
      <alignment horizontal="center" vertical="center"/>
    </xf>
    <xf numFmtId="166" fontId="21" fillId="0" borderId="1" xfId="0" applyNumberFormat="1"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left" wrapText="1"/>
    </xf>
    <xf numFmtId="0" fontId="21" fillId="3"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1" fillId="0" borderId="0" xfId="0" applyFont="1" applyAlignment="1">
      <alignment horizontal="center"/>
    </xf>
    <xf numFmtId="0" fontId="24" fillId="6" borderId="1" xfId="0" applyFont="1" applyFill="1" applyBorder="1" applyAlignment="1">
      <alignment horizont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center" vertical="center"/>
    </xf>
    <xf numFmtId="0" fontId="21" fillId="7" borderId="1" xfId="0" applyFont="1" applyFill="1" applyBorder="1" applyAlignment="1">
      <alignment horizontal="center"/>
    </xf>
    <xf numFmtId="0" fontId="21" fillId="7" borderId="0" xfId="0" applyFont="1" applyFill="1" applyAlignment="1">
      <alignment horizontal="center"/>
    </xf>
    <xf numFmtId="0" fontId="21" fillId="0" borderId="1" xfId="0" applyFont="1" applyBorder="1"/>
    <xf numFmtId="0" fontId="21" fillId="0" borderId="0" xfId="0" applyFont="1"/>
    <xf numFmtId="0" fontId="24" fillId="0" borderId="0" xfId="0" applyFont="1" applyAlignment="1">
      <alignment horizontal="center"/>
    </xf>
    <xf numFmtId="0" fontId="21" fillId="3" borderId="1" xfId="0" applyFont="1" applyFill="1" applyBorder="1" applyAlignment="1">
      <alignment horizontal="left" vertical="center"/>
    </xf>
    <xf numFmtId="166" fontId="21" fillId="3" borderId="1" xfId="0" applyNumberFormat="1" applyFont="1" applyFill="1" applyBorder="1" applyAlignment="1">
      <alignment horizontal="center" vertical="center"/>
    </xf>
    <xf numFmtId="2" fontId="21" fillId="0" borderId="1" xfId="0" applyNumberFormat="1" applyFont="1" applyBorder="1" applyAlignment="1">
      <alignment horizontal="center"/>
    </xf>
    <xf numFmtId="166" fontId="21" fillId="0" borderId="1" xfId="0" applyNumberFormat="1" applyFont="1" applyBorder="1" applyAlignment="1">
      <alignment horizontal="center"/>
    </xf>
    <xf numFmtId="0" fontId="21" fillId="0" borderId="1" xfId="0" applyFont="1" applyBorder="1" applyAlignment="1">
      <alignment horizontal="center" wrapText="1"/>
    </xf>
    <xf numFmtId="0" fontId="24" fillId="0" borderId="1" xfId="0" applyFont="1" applyBorder="1" applyAlignment="1">
      <alignment horizontal="center"/>
    </xf>
    <xf numFmtId="0" fontId="24" fillId="0" borderId="1" xfId="0" applyFont="1" applyBorder="1"/>
    <xf numFmtId="0" fontId="21" fillId="0" borderId="1" xfId="0" applyFont="1" applyBorder="1" applyAlignment="1">
      <alignment vertical="center" wrapText="1"/>
    </xf>
    <xf numFmtId="2" fontId="21" fillId="0" borderId="1" xfId="0" applyNumberFormat="1" applyFont="1" applyBorder="1" applyAlignment="1">
      <alignment horizontal="center" vertical="center"/>
    </xf>
    <xf numFmtId="0" fontId="24" fillId="0" borderId="1" xfId="0" applyFont="1" applyBorder="1" applyAlignment="1">
      <alignment horizontal="left"/>
    </xf>
    <xf numFmtId="0" fontId="24" fillId="0" borderId="3" xfId="0" applyFont="1" applyBorder="1"/>
    <xf numFmtId="0" fontId="21" fillId="0" borderId="3" xfId="0" applyFont="1" applyBorder="1" applyAlignment="1">
      <alignment horizontal="center" vertical="center"/>
    </xf>
    <xf numFmtId="0" fontId="21" fillId="3" borderId="1" xfId="0" applyFont="1" applyFill="1" applyBorder="1" applyAlignment="1">
      <alignment horizontal="center"/>
    </xf>
    <xf numFmtId="0" fontId="21" fillId="3" borderId="1" xfId="0" applyFont="1" applyFill="1" applyBorder="1"/>
    <xf numFmtId="0" fontId="21" fillId="3" borderId="1" xfId="0" applyFont="1" applyFill="1" applyBorder="1" applyAlignment="1">
      <alignment horizontal="center" vertical="center"/>
    </xf>
    <xf numFmtId="0" fontId="21" fillId="3" borderId="1" xfId="0" applyFont="1" applyFill="1" applyBorder="1" applyAlignment="1">
      <alignment vertical="center" wrapText="1"/>
    </xf>
    <xf numFmtId="0" fontId="24" fillId="0" borderId="0" xfId="0" applyFont="1"/>
    <xf numFmtId="0" fontId="21" fillId="0" borderId="2" xfId="0" applyFont="1" applyBorder="1" applyAlignment="1">
      <alignment horizontal="center" vertical="center"/>
    </xf>
    <xf numFmtId="0" fontId="21" fillId="0" borderId="1" xfId="0" applyFont="1" applyBorder="1" applyAlignment="1">
      <alignment wrapText="1"/>
    </xf>
    <xf numFmtId="0" fontId="21" fillId="0" borderId="1" xfId="0" applyFont="1" applyBorder="1" applyAlignment="1">
      <alignment vertical="center"/>
    </xf>
    <xf numFmtId="0" fontId="21" fillId="0" borderId="0" xfId="0" applyFont="1" applyAlignment="1">
      <alignment vertical="center"/>
    </xf>
    <xf numFmtId="0" fontId="21" fillId="0" borderId="0" xfId="0" applyFont="1" applyAlignment="1">
      <alignment vertical="center" wrapText="1"/>
    </xf>
    <xf numFmtId="0" fontId="24" fillId="0" borderId="4" xfId="0" applyFont="1" applyBorder="1" applyAlignment="1">
      <alignment horizontal="center"/>
    </xf>
    <xf numFmtId="0" fontId="24" fillId="3" borderId="2" xfId="0" applyFont="1" applyFill="1" applyBorder="1" applyAlignment="1">
      <alignment horizontal="center" vertical="center" wrapText="1"/>
    </xf>
    <xf numFmtId="0" fontId="21" fillId="3" borderId="0" xfId="0" applyFont="1" applyFill="1" applyAlignment="1">
      <alignment horizontal="center" vertical="center"/>
    </xf>
    <xf numFmtId="0" fontId="21" fillId="3" borderId="0" xfId="0" applyFont="1" applyFill="1" applyAlignment="1">
      <alignment horizontal="center"/>
    </xf>
    <xf numFmtId="0" fontId="21" fillId="3" borderId="1" xfId="0" applyFont="1" applyFill="1" applyBorder="1" applyAlignment="1">
      <alignment vertical="center"/>
    </xf>
    <xf numFmtId="0" fontId="24" fillId="0" borderId="3" xfId="0" applyFont="1" applyBorder="1" applyAlignment="1">
      <alignment horizontal="center"/>
    </xf>
    <xf numFmtId="0" fontId="21" fillId="0" borderId="3" xfId="0" applyFont="1" applyBorder="1"/>
    <xf numFmtId="0" fontId="21" fillId="3" borderId="1" xfId="0" applyFont="1" applyFill="1" applyBorder="1" applyAlignment="1">
      <alignment wrapText="1"/>
    </xf>
    <xf numFmtId="0" fontId="24" fillId="3" borderId="1" xfId="0" applyFont="1" applyFill="1" applyBorder="1" applyAlignment="1">
      <alignment horizontal="left" vertical="center"/>
    </xf>
    <xf numFmtId="0" fontId="24" fillId="9" borderId="1" xfId="0" applyFont="1" applyFill="1" applyBorder="1"/>
    <xf numFmtId="0" fontId="24" fillId="3" borderId="1" xfId="0" applyFont="1" applyFill="1" applyBorder="1"/>
    <xf numFmtId="0" fontId="21" fillId="3" borderId="0" xfId="0" applyFont="1" applyFill="1"/>
    <xf numFmtId="2" fontId="2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3" fillId="0" borderId="1" xfId="0" applyFont="1" applyBorder="1" applyAlignment="1">
      <alignment vertical="top" wrapText="1"/>
    </xf>
    <xf numFmtId="166" fontId="24" fillId="3" borderId="1" xfId="0" applyNumberFormat="1" applyFont="1" applyFill="1" applyBorder="1" applyAlignment="1">
      <alignment horizontal="center" vertical="center"/>
    </xf>
    <xf numFmtId="0" fontId="24" fillId="10" borderId="0" xfId="0" applyFont="1" applyFill="1" applyAlignment="1">
      <alignment horizontal="center" vertical="center" wrapText="1"/>
    </xf>
    <xf numFmtId="0" fontId="21" fillId="10" borderId="0" xfId="0" applyFont="1" applyFill="1" applyAlignment="1">
      <alignment horizontal="center" vertical="center"/>
    </xf>
    <xf numFmtId="0" fontId="24" fillId="10" borderId="0" xfId="0" applyFont="1" applyFill="1" applyAlignment="1">
      <alignment horizontal="center" vertical="center"/>
    </xf>
    <xf numFmtId="0" fontId="24" fillId="9" borderId="0" xfId="0" applyFont="1" applyFill="1" applyAlignment="1">
      <alignment horizontal="center" vertical="center"/>
    </xf>
    <xf numFmtId="0" fontId="21" fillId="10" borderId="0" xfId="0" applyFont="1" applyFill="1"/>
    <xf numFmtId="2" fontId="24" fillId="0" borderId="0" xfId="0" applyNumberFormat="1" applyFont="1" applyAlignment="1">
      <alignment horizontal="center" vertical="center"/>
    </xf>
    <xf numFmtId="0" fontId="24" fillId="0" borderId="0" xfId="0" applyFont="1" applyAlignment="1">
      <alignment horizontal="center" vertical="center" wrapText="1"/>
    </xf>
    <xf numFmtId="167" fontId="21" fillId="3" borderId="1" xfId="1" applyNumberFormat="1" applyFont="1" applyFill="1" applyBorder="1" applyAlignment="1">
      <alignment horizontal="center" vertical="center"/>
    </xf>
    <xf numFmtId="43" fontId="21" fillId="0" borderId="0" xfId="0" applyNumberFormat="1" applyFont="1" applyAlignment="1">
      <alignment horizontal="center"/>
    </xf>
    <xf numFmtId="165" fontId="21" fillId="3" borderId="1" xfId="0" applyNumberFormat="1" applyFont="1" applyFill="1" applyBorder="1" applyAlignment="1">
      <alignment horizontal="center"/>
    </xf>
    <xf numFmtId="0" fontId="24" fillId="3" borderId="3" xfId="0" applyFont="1" applyFill="1" applyBorder="1"/>
    <xf numFmtId="0" fontId="21" fillId="3" borderId="3" xfId="0" applyFont="1" applyFill="1" applyBorder="1" applyAlignment="1">
      <alignment horizontal="center"/>
    </xf>
    <xf numFmtId="0" fontId="21" fillId="3" borderId="3" xfId="0" applyFont="1" applyFill="1" applyBorder="1"/>
    <xf numFmtId="0" fontId="24" fillId="3" borderId="3" xfId="0" applyFont="1" applyFill="1" applyBorder="1" applyAlignment="1">
      <alignment horizontal="center" vertical="center" wrapText="1"/>
    </xf>
    <xf numFmtId="0" fontId="24" fillId="3" borderId="3" xfId="0" applyFont="1" applyFill="1" applyBorder="1" applyAlignment="1">
      <alignment horizontal="left" vertical="center"/>
    </xf>
    <xf numFmtId="0" fontId="24" fillId="3" borderId="3" xfId="0" applyFont="1" applyFill="1" applyBorder="1" applyAlignment="1">
      <alignment horizontal="center" vertical="center"/>
    </xf>
    <xf numFmtId="0" fontId="21" fillId="10" borderId="1" xfId="0" applyFont="1" applyFill="1" applyBorder="1"/>
    <xf numFmtId="0" fontId="24" fillId="3" borderId="6" xfId="0" applyFont="1" applyFill="1" applyBorder="1" applyAlignment="1">
      <alignment horizontal="center" vertical="center"/>
    </xf>
    <xf numFmtId="0" fontId="21" fillId="0" borderId="7" xfId="0" applyFont="1" applyBorder="1"/>
    <xf numFmtId="0" fontId="21" fillId="0" borderId="8" xfId="0" applyFont="1" applyBorder="1"/>
    <xf numFmtId="0" fontId="26" fillId="3" borderId="3" xfId="0" applyFont="1" applyFill="1" applyBorder="1"/>
    <xf numFmtId="165" fontId="21" fillId="3" borderId="1" xfId="0" applyNumberFormat="1" applyFont="1" applyFill="1" applyBorder="1" applyAlignment="1">
      <alignment horizontal="center" vertical="center"/>
    </xf>
    <xf numFmtId="0" fontId="26" fillId="3" borderId="1" xfId="0" applyFont="1" applyFill="1" applyBorder="1"/>
    <xf numFmtId="165" fontId="24" fillId="3" borderId="1" xfId="0" applyNumberFormat="1" applyFont="1" applyFill="1" applyBorder="1" applyAlignment="1">
      <alignment horizontal="center" vertical="center"/>
    </xf>
    <xf numFmtId="0" fontId="24" fillId="0" borderId="1" xfId="2" applyFont="1" applyBorder="1" applyAlignment="1">
      <alignment horizontal="left" vertical="center"/>
    </xf>
    <xf numFmtId="0" fontId="13" fillId="0" borderId="1" xfId="2" applyFont="1" applyBorder="1" applyAlignment="1">
      <alignment horizontal="center" vertical="center"/>
    </xf>
    <xf numFmtId="0" fontId="13" fillId="0" borderId="1" xfId="2" applyFont="1" applyBorder="1" applyAlignment="1">
      <alignment vertical="center"/>
    </xf>
    <xf numFmtId="165" fontId="13" fillId="0" borderId="1" xfId="2" applyNumberFormat="1" applyFont="1" applyBorder="1" applyAlignment="1">
      <alignment horizontal="center" vertical="center"/>
    </xf>
    <xf numFmtId="0" fontId="13" fillId="3" borderId="1" xfId="2" applyFont="1" applyFill="1" applyBorder="1" applyAlignment="1">
      <alignment horizontal="center" vertical="center"/>
    </xf>
    <xf numFmtId="165" fontId="14" fillId="0" borderId="1" xfId="2" applyNumberFormat="1" applyFont="1" applyBorder="1" applyAlignment="1">
      <alignment horizontal="center" vertical="center"/>
    </xf>
    <xf numFmtId="0" fontId="14" fillId="0" borderId="1" xfId="2" applyFont="1" applyBorder="1" applyAlignment="1">
      <alignment horizontal="center" vertical="center"/>
    </xf>
    <xf numFmtId="0" fontId="13" fillId="0" borderId="1" xfId="2" applyFont="1" applyBorder="1" applyAlignment="1">
      <alignment horizontal="center"/>
    </xf>
    <xf numFmtId="165" fontId="13" fillId="0" borderId="1" xfId="2" applyNumberFormat="1" applyFont="1" applyBorder="1"/>
    <xf numFmtId="0" fontId="13" fillId="3" borderId="1" xfId="2" applyFont="1" applyFill="1" applyBorder="1" applyAlignment="1">
      <alignment vertical="center"/>
    </xf>
    <xf numFmtId="0" fontId="13" fillId="3" borderId="1" xfId="2" applyFont="1" applyFill="1" applyBorder="1" applyAlignment="1">
      <alignment horizontal="center"/>
    </xf>
    <xf numFmtId="165" fontId="13" fillId="3" borderId="1" xfId="2" applyNumberFormat="1" applyFont="1" applyFill="1" applyBorder="1" applyAlignment="1">
      <alignment horizontal="center" vertical="center"/>
    </xf>
    <xf numFmtId="165" fontId="21" fillId="0" borderId="0" xfId="0" applyNumberFormat="1" applyFont="1"/>
    <xf numFmtId="0" fontId="21" fillId="0" borderId="1" xfId="2" applyFont="1" applyBorder="1"/>
    <xf numFmtId="2" fontId="21" fillId="0" borderId="0" xfId="0" applyNumberFormat="1" applyFont="1"/>
    <xf numFmtId="0" fontId="24" fillId="3" borderId="9"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0" xfId="0" applyFont="1" applyFill="1" applyBorder="1" applyAlignment="1">
      <alignment horizontal="center" vertical="center"/>
    </xf>
    <xf numFmtId="0" fontId="21" fillId="3" borderId="9" xfId="0" applyFont="1" applyFill="1" applyBorder="1"/>
    <xf numFmtId="0" fontId="21" fillId="3" borderId="10" xfId="0" applyFont="1" applyFill="1" applyBorder="1" applyAlignment="1">
      <alignment horizontal="center"/>
    </xf>
    <xf numFmtId="0" fontId="24" fillId="3" borderId="9" xfId="0" applyFont="1" applyFill="1" applyBorder="1" applyAlignment="1">
      <alignment horizontal="center"/>
    </xf>
    <xf numFmtId="0" fontId="21" fillId="3" borderId="11" xfId="0" applyFont="1" applyFill="1" applyBorder="1"/>
    <xf numFmtId="0" fontId="21" fillId="3" borderId="12" xfId="0" applyFont="1" applyFill="1" applyBorder="1" applyAlignment="1">
      <alignment horizontal="left"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4" fillId="9" borderId="1" xfId="0" applyFont="1" applyFill="1" applyBorder="1" applyAlignment="1">
      <alignment horizontal="center" vertical="center"/>
    </xf>
    <xf numFmtId="0" fontId="21" fillId="0" borderId="10" xfId="0" applyFont="1" applyBorder="1" applyAlignment="1">
      <alignment horizontal="center"/>
    </xf>
    <xf numFmtId="0" fontId="21" fillId="3" borderId="9" xfId="0" applyFont="1" applyFill="1" applyBorder="1" applyAlignment="1">
      <alignment horizontal="center"/>
    </xf>
    <xf numFmtId="0" fontId="24" fillId="0" borderId="9" xfId="0" applyFont="1" applyBorder="1" applyAlignment="1">
      <alignment horizontal="center"/>
    </xf>
    <xf numFmtId="0" fontId="21" fillId="0" borderId="9" xfId="0" applyFont="1" applyBorder="1" applyAlignment="1">
      <alignment horizontal="center"/>
    </xf>
    <xf numFmtId="0" fontId="21" fillId="10" borderId="1" xfId="0"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10" borderId="10" xfId="0" applyFont="1" applyFill="1" applyBorder="1" applyAlignment="1">
      <alignment horizontal="center"/>
    </xf>
    <xf numFmtId="2" fontId="24" fillId="0" borderId="1" xfId="0" applyNumberFormat="1" applyFont="1" applyBorder="1" applyAlignment="1">
      <alignment horizontal="center" vertical="center"/>
    </xf>
    <xf numFmtId="0" fontId="21" fillId="0" borderId="14" xfId="0" applyFont="1" applyBorder="1" applyAlignment="1">
      <alignment horizontal="center"/>
    </xf>
    <xf numFmtId="0" fontId="21" fillId="0" borderId="5" xfId="0" applyFont="1" applyBorder="1"/>
    <xf numFmtId="0" fontId="21" fillId="0" borderId="5" xfId="0" applyFont="1" applyBorder="1" applyAlignment="1">
      <alignment horizontal="center" vertical="center"/>
    </xf>
    <xf numFmtId="166" fontId="24" fillId="0" borderId="5" xfId="0" applyNumberFormat="1" applyFont="1" applyBorder="1" applyAlignment="1">
      <alignment horizontal="center" vertical="center"/>
    </xf>
    <xf numFmtId="0" fontId="21" fillId="0" borderId="15" xfId="0" applyFont="1" applyBorder="1" applyAlignment="1">
      <alignment horizontal="center"/>
    </xf>
    <xf numFmtId="0" fontId="24" fillId="0" borderId="0" xfId="0" applyFont="1" applyAlignment="1">
      <alignment vertical="center" wrapText="1"/>
    </xf>
    <xf numFmtId="0" fontId="24" fillId="0" borderId="1" xfId="0" applyFont="1" applyBorder="1" applyAlignment="1">
      <alignment vertical="center" wrapText="1"/>
    </xf>
    <xf numFmtId="0" fontId="21" fillId="0" borderId="0" xfId="0" applyFont="1" applyAlignment="1">
      <alignment wrapText="1"/>
    </xf>
    <xf numFmtId="166" fontId="21" fillId="0" borderId="1" xfId="0" applyNumberFormat="1" applyFont="1" applyBorder="1" applyAlignment="1">
      <alignment horizontal="center" wrapText="1"/>
    </xf>
    <xf numFmtId="166"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wrapText="1"/>
    </xf>
    <xf numFmtId="2" fontId="21" fillId="0" borderId="1" xfId="0" applyNumberFormat="1" applyFont="1" applyBorder="1" applyAlignment="1">
      <alignment horizontal="center" wrapText="1"/>
    </xf>
    <xf numFmtId="165" fontId="24" fillId="9" borderId="1" xfId="0" applyNumberFormat="1" applyFont="1" applyFill="1" applyBorder="1" applyAlignment="1">
      <alignment horizontal="center" wrapText="1"/>
    </xf>
    <xf numFmtId="166"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0" borderId="0" xfId="0" applyFont="1" applyAlignment="1">
      <alignment horizontal="center" vertical="center" wrapText="1"/>
    </xf>
    <xf numFmtId="2" fontId="24" fillId="9" borderId="16" xfId="0" applyNumberFormat="1" applyFont="1" applyFill="1" applyBorder="1" applyAlignment="1">
      <alignment horizontal="center" vertical="center"/>
    </xf>
    <xf numFmtId="0" fontId="21" fillId="3" borderId="9" xfId="0" applyFont="1" applyFill="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xf>
    <xf numFmtId="0" fontId="24" fillId="0" borderId="5" xfId="0" applyFont="1" applyBorder="1" applyAlignment="1">
      <alignment horizontal="center"/>
    </xf>
    <xf numFmtId="0" fontId="24" fillId="0" borderId="19" xfId="0" applyFont="1" applyBorder="1" applyAlignment="1">
      <alignment horizontal="center"/>
    </xf>
    <xf numFmtId="0" fontId="21" fillId="3" borderId="20" xfId="0" applyFont="1" applyFill="1" applyBorder="1" applyAlignment="1">
      <alignment horizontal="center" vertical="center"/>
    </xf>
    <xf numFmtId="0" fontId="21" fillId="3" borderId="21" xfId="0" applyFont="1" applyFill="1" applyBorder="1" applyAlignment="1">
      <alignment horizontal="center"/>
    </xf>
    <xf numFmtId="0" fontId="21" fillId="3" borderId="14" xfId="0" applyFont="1" applyFill="1" applyBorder="1" applyAlignment="1">
      <alignment horizontal="center" vertical="center"/>
    </xf>
    <xf numFmtId="0" fontId="21" fillId="3" borderId="5" xfId="0" applyFont="1" applyFill="1" applyBorder="1"/>
    <xf numFmtId="0" fontId="21" fillId="3" borderId="5" xfId="0" applyFont="1" applyFill="1" applyBorder="1" applyAlignment="1">
      <alignment horizontal="center" vertical="center"/>
    </xf>
    <xf numFmtId="0" fontId="21" fillId="3" borderId="5" xfId="0" applyFont="1" applyFill="1" applyBorder="1" applyAlignment="1">
      <alignment horizontal="center"/>
    </xf>
    <xf numFmtId="0" fontId="21" fillId="3" borderId="15" xfId="0" applyFont="1" applyFill="1" applyBorder="1" applyAlignment="1">
      <alignment horizontal="center"/>
    </xf>
    <xf numFmtId="167" fontId="24" fillId="9" borderId="13" xfId="0" applyNumberFormat="1" applyFont="1" applyFill="1" applyBorder="1" applyAlignment="1">
      <alignment horizontal="center" vertical="center"/>
    </xf>
    <xf numFmtId="0" fontId="21" fillId="3" borderId="10"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167" fontId="24" fillId="9" borderId="5" xfId="0" applyNumberFormat="1" applyFont="1" applyFill="1" applyBorder="1" applyAlignment="1">
      <alignment horizontal="center" vertical="center"/>
    </xf>
    <xf numFmtId="0" fontId="21" fillId="3" borderId="19" xfId="0" applyFont="1" applyFill="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5" xfId="0" applyFont="1" applyBorder="1" applyAlignment="1">
      <alignment vertical="center" wrapText="1"/>
    </xf>
    <xf numFmtId="0" fontId="21" fillId="0" borderId="15" xfId="0" applyFont="1" applyBorder="1" applyAlignment="1">
      <alignment vertical="center" wrapText="1"/>
    </xf>
    <xf numFmtId="0" fontId="21" fillId="3" borderId="10" xfId="0" applyFont="1" applyFill="1" applyBorder="1"/>
    <xf numFmtId="0" fontId="21" fillId="3" borderId="8" xfId="0" applyFont="1" applyFill="1" applyBorder="1"/>
    <xf numFmtId="2" fontId="24" fillId="3" borderId="5" xfId="0" applyNumberFormat="1" applyFont="1" applyFill="1" applyBorder="1" applyAlignment="1">
      <alignment horizontal="center" vertical="center"/>
    </xf>
    <xf numFmtId="0" fontId="21" fillId="3" borderId="15" xfId="0" applyFont="1" applyFill="1" applyBorder="1"/>
    <xf numFmtId="0" fontId="24" fillId="3" borderId="1" xfId="0" applyFont="1" applyFill="1" applyBorder="1" applyAlignment="1">
      <alignment wrapText="1"/>
    </xf>
    <xf numFmtId="0" fontId="21" fillId="3" borderId="22" xfId="0" applyFont="1" applyFill="1" applyBorder="1" applyAlignment="1">
      <alignment wrapText="1"/>
    </xf>
    <xf numFmtId="0" fontId="21" fillId="3" borderId="0" xfId="0" applyFont="1" applyFill="1" applyAlignment="1">
      <alignment wrapText="1"/>
    </xf>
    <xf numFmtId="0" fontId="24" fillId="9" borderId="1" xfId="0" applyFont="1" applyFill="1" applyBorder="1" applyAlignment="1">
      <alignment wrapText="1"/>
    </xf>
    <xf numFmtId="0" fontId="21" fillId="3" borderId="1" xfId="0" applyFont="1" applyFill="1" applyBorder="1" applyAlignment="1">
      <alignment horizontal="left" vertical="top" wrapText="1"/>
    </xf>
    <xf numFmtId="0" fontId="24" fillId="3" borderId="5" xfId="0" applyFont="1" applyFill="1" applyBorder="1" applyAlignment="1">
      <alignment horizontal="center"/>
    </xf>
    <xf numFmtId="0" fontId="24" fillId="0" borderId="0" xfId="0" applyFont="1" applyAlignment="1">
      <alignment horizontal="center" vertical="top"/>
    </xf>
    <xf numFmtId="0" fontId="24" fillId="0" borderId="1" xfId="0" applyFont="1" applyBorder="1" applyAlignment="1">
      <alignment horizontal="left" vertical="top" wrapText="1"/>
    </xf>
    <xf numFmtId="0" fontId="21" fillId="0" borderId="1" xfId="0" applyFont="1" applyBorder="1" applyAlignment="1">
      <alignment horizontal="center" vertical="top"/>
    </xf>
    <xf numFmtId="166" fontId="21" fillId="0" borderId="1" xfId="0" applyNumberFormat="1" applyFont="1" applyBorder="1" applyAlignment="1">
      <alignment horizontal="center" vertical="top"/>
    </xf>
    <xf numFmtId="0" fontId="21" fillId="0" borderId="0" xfId="0" applyFont="1" applyAlignment="1">
      <alignment vertical="top"/>
    </xf>
    <xf numFmtId="166" fontId="24" fillId="0" borderId="1" xfId="0" applyNumberFormat="1" applyFont="1" applyBorder="1" applyAlignment="1">
      <alignment horizontal="center" vertical="top"/>
    </xf>
    <xf numFmtId="0" fontId="21" fillId="0" borderId="1" xfId="0" applyFont="1" applyBorder="1" applyAlignment="1">
      <alignment vertical="top"/>
    </xf>
    <xf numFmtId="0" fontId="21" fillId="11" borderId="1" xfId="0" applyFont="1" applyFill="1" applyBorder="1" applyAlignment="1">
      <alignment vertical="top" wrapText="1"/>
    </xf>
    <xf numFmtId="0" fontId="21" fillId="3" borderId="1" xfId="0" applyFont="1" applyFill="1" applyBorder="1" applyAlignment="1">
      <alignment vertical="top" wrapText="1"/>
    </xf>
    <xf numFmtId="0" fontId="24" fillId="0" borderId="1" xfId="0" applyFont="1" applyBorder="1" applyAlignment="1">
      <alignment vertical="top" wrapText="1"/>
    </xf>
    <xf numFmtId="166" fontId="24" fillId="0" borderId="1" xfId="0" applyNumberFormat="1" applyFont="1" applyBorder="1" applyAlignment="1">
      <alignment vertical="top"/>
    </xf>
    <xf numFmtId="0" fontId="21" fillId="0" borderId="0" xfId="0" applyFont="1" applyAlignment="1">
      <alignment vertical="top" wrapText="1"/>
    </xf>
    <xf numFmtId="0" fontId="21" fillId="0" borderId="0" xfId="0" applyFont="1" applyAlignment="1">
      <alignment horizontal="center" vertical="top"/>
    </xf>
    <xf numFmtId="0" fontId="21" fillId="0" borderId="10" xfId="0" applyFont="1" applyBorder="1"/>
    <xf numFmtId="0" fontId="24" fillId="0" borderId="9" xfId="0" applyFont="1" applyBorder="1"/>
    <xf numFmtId="0" fontId="24" fillId="0" borderId="10" xfId="0" applyFont="1" applyBorder="1"/>
    <xf numFmtId="0" fontId="21" fillId="0" borderId="10" xfId="0" applyFont="1" applyBorder="1" applyAlignment="1">
      <alignment horizontal="center" wrapText="1"/>
    </xf>
    <xf numFmtId="0" fontId="21" fillId="0" borderId="10" xfId="0" applyFont="1" applyBorder="1" applyAlignment="1">
      <alignment vertical="center" wrapText="1"/>
    </xf>
    <xf numFmtId="2" fontId="21" fillId="3" borderId="1" xfId="0" applyNumberFormat="1" applyFont="1" applyFill="1" applyBorder="1" applyAlignment="1">
      <alignment horizontal="center"/>
    </xf>
    <xf numFmtId="0" fontId="21" fillId="0" borderId="15" xfId="0" applyFont="1" applyBorder="1"/>
    <xf numFmtId="0" fontId="21" fillId="0" borderId="0" xfId="0" applyFont="1" applyAlignment="1">
      <alignment horizontal="left" vertical="center" wrapText="1"/>
    </xf>
    <xf numFmtId="0" fontId="21" fillId="0" borderId="10" xfId="0" applyFont="1" applyBorder="1" applyAlignment="1">
      <alignment horizontal="center" vertical="center" wrapText="1"/>
    </xf>
    <xf numFmtId="0" fontId="21" fillId="3" borderId="5" xfId="0" applyFont="1" applyFill="1" applyBorder="1" applyAlignment="1">
      <alignment horizontal="left" vertical="center" wrapText="1"/>
    </xf>
    <xf numFmtId="166" fontId="21" fillId="0" borderId="5" xfId="0" applyNumberFormat="1" applyFont="1" applyBorder="1" applyAlignment="1">
      <alignment horizontal="center" vertical="center"/>
    </xf>
    <xf numFmtId="164" fontId="21" fillId="0" borderId="5" xfId="1" applyFont="1" applyBorder="1" applyAlignment="1">
      <alignment horizontal="center" vertical="center"/>
    </xf>
    <xf numFmtId="43" fontId="21" fillId="0" borderId="5" xfId="0" applyNumberFormat="1" applyFont="1" applyBorder="1" applyAlignment="1">
      <alignment vertical="center"/>
    </xf>
    <xf numFmtId="0" fontId="21" fillId="0" borderId="15" xfId="0" applyFont="1" applyBorder="1" applyAlignment="1">
      <alignment horizontal="center" vertical="center"/>
    </xf>
    <xf numFmtId="0" fontId="17" fillId="4" borderId="1" xfId="0" applyFont="1" applyFill="1" applyBorder="1" applyAlignment="1">
      <alignment vertical="center" wrapText="1"/>
    </xf>
    <xf numFmtId="165" fontId="24" fillId="9" borderId="1" xfId="2" applyNumberFormat="1" applyFont="1" applyFill="1" applyBorder="1"/>
    <xf numFmtId="2" fontId="17" fillId="3" borderId="1" xfId="0" applyNumberFormat="1" applyFont="1" applyFill="1" applyBorder="1" applyAlignment="1">
      <alignment horizontal="center" vertical="center"/>
    </xf>
    <xf numFmtId="167" fontId="21" fillId="0" borderId="1" xfId="1" applyNumberFormat="1" applyFont="1" applyBorder="1" applyAlignment="1">
      <alignment wrapText="1"/>
    </xf>
    <xf numFmtId="167" fontId="21" fillId="9" borderId="1" xfId="1" applyNumberFormat="1" applyFont="1" applyFill="1" applyBorder="1" applyAlignment="1">
      <alignment wrapText="1"/>
    </xf>
    <xf numFmtId="0" fontId="21" fillId="0" borderId="23" xfId="0" applyFont="1" applyBorder="1" applyAlignment="1">
      <alignment horizontal="center" wrapText="1"/>
    </xf>
    <xf numFmtId="167" fontId="21" fillId="9" borderId="1" xfId="1" applyNumberFormat="1" applyFont="1" applyFill="1" applyBorder="1" applyAlignment="1">
      <alignment horizontal="center" wrapText="1"/>
    </xf>
    <xf numFmtId="2" fontId="21" fillId="9" borderId="1" xfId="0" applyNumberFormat="1" applyFont="1" applyFill="1" applyBorder="1" applyAlignment="1">
      <alignment horizontal="center" vertical="center" wrapText="1"/>
    </xf>
    <xf numFmtId="0" fontId="27" fillId="3" borderId="1" xfId="0" applyFont="1" applyFill="1" applyBorder="1" applyAlignment="1">
      <alignment vertical="center" wrapText="1"/>
    </xf>
    <xf numFmtId="0" fontId="21" fillId="0" borderId="13" xfId="0" applyFont="1" applyBorder="1" applyAlignment="1">
      <alignment horizontal="center" vertical="center" wrapText="1"/>
    </xf>
    <xf numFmtId="0" fontId="21" fillId="0" borderId="23" xfId="0" applyFont="1" applyBorder="1" applyAlignment="1">
      <alignment wrapText="1"/>
    </xf>
    <xf numFmtId="2" fontId="21" fillId="0" borderId="1" xfId="0" applyNumberFormat="1" applyFont="1" applyBorder="1" applyAlignment="1">
      <alignment horizontal="center" vertical="top"/>
    </xf>
    <xf numFmtId="2" fontId="17" fillId="3" borderId="1" xfId="0" applyNumberFormat="1" applyFont="1" applyFill="1" applyBorder="1" applyAlignment="1">
      <alignment vertical="center"/>
    </xf>
    <xf numFmtId="0" fontId="22" fillId="0" borderId="1" xfId="0" applyFont="1" applyBorder="1" applyAlignment="1">
      <alignment vertical="top" wrapText="1"/>
    </xf>
    <xf numFmtId="0" fontId="2" fillId="0" borderId="1" xfId="0" applyFont="1" applyBorder="1" applyAlignment="1">
      <alignment vertical="top" wrapText="1"/>
    </xf>
    <xf numFmtId="0" fontId="1" fillId="3"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24" fillId="0" borderId="1" xfId="0" applyFont="1" applyBorder="1" applyAlignment="1">
      <alignment horizontal="center" vertical="center" wrapText="1"/>
    </xf>
    <xf numFmtId="0" fontId="21" fillId="0" borderId="1" xfId="0" applyFont="1" applyBorder="1" applyAlignment="1">
      <alignment horizontal="left"/>
    </xf>
    <xf numFmtId="0" fontId="24" fillId="0" borderId="10" xfId="0" applyFont="1" applyBorder="1" applyAlignment="1">
      <alignment horizontal="center" vertical="center"/>
    </xf>
    <xf numFmtId="0" fontId="24"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1" xfId="2" applyFont="1" applyBorder="1" applyAlignment="1">
      <alignment horizontal="center" vertical="center" wrapText="1"/>
    </xf>
    <xf numFmtId="0" fontId="24" fillId="0" borderId="1" xfId="2" applyFont="1" applyBorder="1" applyAlignment="1">
      <alignment horizontal="center" vertical="center"/>
    </xf>
    <xf numFmtId="0" fontId="24" fillId="3" borderId="5" xfId="0" applyFont="1" applyFill="1" applyBorder="1" applyAlignment="1">
      <alignment horizontal="center"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1" fillId="0" borderId="1" xfId="0" applyFont="1" applyBorder="1" applyAlignment="1">
      <alignment horizontal="left" vertical="center" wrapText="1"/>
    </xf>
    <xf numFmtId="0" fontId="24" fillId="3" borderId="1" xfId="0" applyFont="1" applyFill="1" applyBorder="1" applyAlignment="1">
      <alignment horizont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4" fillId="0" borderId="1" xfId="0" applyFont="1" applyBorder="1" applyAlignment="1">
      <alignment horizontal="center" vertical="top"/>
    </xf>
    <xf numFmtId="0" fontId="24" fillId="0" borderId="1" xfId="0" applyFont="1" applyBorder="1" applyAlignment="1">
      <alignment horizontal="center" vertical="top" wrapText="1"/>
    </xf>
    <xf numFmtId="0" fontId="21" fillId="0" borderId="13" xfId="0" applyFont="1" applyBorder="1" applyAlignment="1">
      <alignment horizontal="center" vertical="top"/>
    </xf>
    <xf numFmtId="0" fontId="21" fillId="0" borderId="9" xfId="0" applyFont="1" applyBorder="1" applyAlignment="1">
      <alignment horizontal="center" vertical="center"/>
    </xf>
    <xf numFmtId="0" fontId="24" fillId="8"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1" fillId="0" borderId="3" xfId="0" applyFont="1" applyBorder="1" applyAlignment="1">
      <alignment vertical="center" wrapText="1"/>
    </xf>
    <xf numFmtId="166" fontId="21" fillId="0" borderId="3" xfId="0" applyNumberFormat="1" applyFont="1" applyBorder="1" applyAlignment="1">
      <alignment horizontal="center" vertical="center"/>
    </xf>
    <xf numFmtId="0" fontId="21" fillId="0" borderId="3" xfId="0" applyFont="1" applyBorder="1" applyAlignment="1">
      <alignment vertical="center"/>
    </xf>
    <xf numFmtId="0" fontId="24" fillId="0" borderId="1" xfId="0" applyFont="1" applyBorder="1" applyAlignment="1">
      <alignment horizontal="center" vertical="center" wrapText="1"/>
    </xf>
    <xf numFmtId="0" fontId="24" fillId="0" borderId="10"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9" xfId="0" applyFont="1" applyBorder="1" applyAlignment="1">
      <alignment horizontal="center" vertical="center" wrapText="1"/>
    </xf>
    <xf numFmtId="0" fontId="24" fillId="0" borderId="1" xfId="0" applyFont="1" applyBorder="1" applyAlignment="1">
      <alignment horizontal="center" vertical="center"/>
    </xf>
    <xf numFmtId="0" fontId="18"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4" fillId="0" borderId="1" xfId="0" applyFont="1" applyBorder="1" applyAlignment="1">
      <alignment vertical="center" wrapText="1"/>
    </xf>
    <xf numFmtId="0" fontId="21" fillId="0" borderId="1" xfId="0" applyFont="1" applyBorder="1" applyAlignment="1">
      <alignment horizontal="left"/>
    </xf>
    <xf numFmtId="0" fontId="24" fillId="0" borderId="23" xfId="0" applyFont="1" applyBorder="1" applyAlignment="1">
      <alignment horizontal="center" vertical="center"/>
    </xf>
    <xf numFmtId="0" fontId="24" fillId="0" borderId="13" xfId="0" applyFont="1" applyBorder="1" applyAlignment="1">
      <alignment horizontal="center" vertical="center"/>
    </xf>
    <xf numFmtId="0" fontId="24" fillId="0" borderId="27" xfId="0" applyFont="1" applyBorder="1" applyAlignment="1">
      <alignment horizontal="center" vertical="center"/>
    </xf>
    <xf numFmtId="0" fontId="24" fillId="0" borderId="16" xfId="0" applyFont="1" applyBorder="1" applyAlignment="1">
      <alignment horizontal="center" vertical="center"/>
    </xf>
    <xf numFmtId="0" fontId="24" fillId="0" borderId="24" xfId="0" applyFont="1" applyBorder="1" applyAlignment="1">
      <alignment horizontal="center"/>
    </xf>
    <xf numFmtId="0" fontId="24" fillId="0" borderId="25" xfId="0" applyFont="1" applyBorder="1" applyAlignment="1">
      <alignment horizontal="center"/>
    </xf>
    <xf numFmtId="0" fontId="24" fillId="0" borderId="26" xfId="0" applyFont="1" applyBorder="1" applyAlignment="1">
      <alignment horizontal="center"/>
    </xf>
    <xf numFmtId="0" fontId="24" fillId="0" borderId="11" xfId="0" applyFont="1" applyBorder="1" applyAlignment="1">
      <alignment horizontal="right"/>
    </xf>
    <xf numFmtId="0" fontId="24" fillId="0" borderId="12" xfId="0" applyFont="1" applyBorder="1" applyAlignment="1">
      <alignment horizontal="right"/>
    </xf>
    <xf numFmtId="0" fontId="24" fillId="0" borderId="13" xfId="0" applyFont="1" applyBorder="1" applyAlignment="1">
      <alignment horizontal="right"/>
    </xf>
    <xf numFmtId="0" fontId="24" fillId="3" borderId="1" xfId="2" applyFont="1" applyFill="1" applyBorder="1" applyAlignment="1">
      <alignment horizontal="right"/>
    </xf>
    <xf numFmtId="165" fontId="14" fillId="0" borderId="23" xfId="2" applyNumberFormat="1" applyFont="1" applyBorder="1" applyAlignment="1">
      <alignment horizontal="center" vertical="center"/>
    </xf>
    <xf numFmtId="165" fontId="14" fillId="0" borderId="12" xfId="2" applyNumberFormat="1" applyFont="1" applyBorder="1" applyAlignment="1">
      <alignment horizontal="center" vertical="center"/>
    </xf>
    <xf numFmtId="165" fontId="14" fillId="0" borderId="13" xfId="2" applyNumberFormat="1" applyFont="1" applyBorder="1" applyAlignment="1">
      <alignment horizontal="center" vertical="center"/>
    </xf>
    <xf numFmtId="0" fontId="24" fillId="0" borderId="1" xfId="2" applyFont="1" applyBorder="1" applyAlignment="1">
      <alignment horizontal="center"/>
    </xf>
    <xf numFmtId="0" fontId="24" fillId="0" borderId="1" xfId="2" applyFont="1" applyBorder="1" applyAlignment="1">
      <alignment horizontal="center" vertical="center" wrapText="1"/>
    </xf>
    <xf numFmtId="0" fontId="24" fillId="0" borderId="1" xfId="2"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1" fillId="3" borderId="23" xfId="0" applyFont="1" applyFill="1" applyBorder="1" applyAlignment="1">
      <alignment horizontal="center"/>
    </xf>
    <xf numFmtId="0" fontId="21" fillId="3" borderId="12" xfId="0" applyFont="1" applyFill="1" applyBorder="1" applyAlignment="1">
      <alignment horizontal="center"/>
    </xf>
    <xf numFmtId="0" fontId="21" fillId="3" borderId="13" xfId="0" applyFont="1" applyFill="1" applyBorder="1" applyAlignment="1">
      <alignment horizontal="center"/>
    </xf>
    <xf numFmtId="0" fontId="24" fillId="3" borderId="31"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32"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3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31"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34"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6" xfId="0" applyFont="1" applyBorder="1" applyAlignment="1">
      <alignment horizontal="center" vertical="center"/>
    </xf>
    <xf numFmtId="0" fontId="24" fillId="3" borderId="23" xfId="0" applyFont="1" applyFill="1" applyBorder="1" applyAlignment="1">
      <alignment horizontal="center"/>
    </xf>
    <xf numFmtId="0" fontId="24" fillId="3" borderId="13" xfId="0" applyFont="1" applyFill="1" applyBorder="1" applyAlignment="1">
      <alignment horizontal="center"/>
    </xf>
    <xf numFmtId="0" fontId="24" fillId="0" borderId="3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2" xfId="0" applyFont="1" applyBorder="1" applyAlignment="1">
      <alignment horizontal="center" vertical="center"/>
    </xf>
    <xf numFmtId="0" fontId="24" fillId="0" borderId="15" xfId="0" applyFont="1" applyBorder="1" applyAlignment="1">
      <alignment horizontal="center" vertical="center"/>
    </xf>
    <xf numFmtId="0" fontId="24" fillId="0" borderId="3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31" xfId="0" applyFont="1" applyBorder="1" applyAlignment="1">
      <alignment horizontal="center" vertical="center"/>
    </xf>
    <xf numFmtId="0" fontId="24" fillId="0" borderId="5"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3" xfId="0" applyFont="1" applyBorder="1" applyAlignment="1">
      <alignment horizontal="center" vertical="center" wrapText="1"/>
    </xf>
    <xf numFmtId="0" fontId="24" fillId="0" borderId="21" xfId="0" applyFont="1" applyBorder="1" applyAlignment="1">
      <alignment horizontal="center" vertical="center"/>
    </xf>
    <xf numFmtId="0" fontId="24" fillId="0" borderId="20" xfId="0" applyFont="1" applyBorder="1" applyAlignment="1">
      <alignment horizontal="center" vertical="center" wrapText="1"/>
    </xf>
    <xf numFmtId="0" fontId="24" fillId="0" borderId="3" xfId="0" applyFont="1" applyBorder="1" applyAlignment="1">
      <alignment horizontal="center" vertical="center"/>
    </xf>
    <xf numFmtId="0" fontId="24" fillId="10" borderId="7" xfId="0" applyFont="1" applyFill="1" applyBorder="1" applyAlignment="1">
      <alignment horizontal="center" vertical="center" wrapText="1"/>
    </xf>
    <xf numFmtId="0" fontId="24" fillId="10" borderId="0" xfId="0" applyFont="1" applyFill="1" applyAlignment="1">
      <alignment horizontal="center" vertical="center" wrapText="1"/>
    </xf>
    <xf numFmtId="0" fontId="24" fillId="0" borderId="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24" fillId="3" borderId="23"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 xfId="0" applyFont="1" applyFill="1" applyBorder="1" applyAlignment="1">
      <alignment horizont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4" fillId="0" borderId="42" xfId="0" applyFont="1" applyBorder="1" applyAlignment="1">
      <alignment horizontal="center" vertical="center"/>
    </xf>
    <xf numFmtId="0" fontId="21" fillId="3" borderId="43" xfId="0" applyFont="1" applyFill="1" applyBorder="1" applyAlignment="1">
      <alignment horizontal="right"/>
    </xf>
    <xf numFmtId="0" fontId="21" fillId="3" borderId="44" xfId="0" applyFont="1" applyFill="1" applyBorder="1" applyAlignment="1">
      <alignment horizontal="right"/>
    </xf>
    <xf numFmtId="0" fontId="21" fillId="3" borderId="16" xfId="0" applyFont="1" applyFill="1" applyBorder="1" applyAlignment="1">
      <alignment horizontal="right"/>
    </xf>
    <xf numFmtId="0" fontId="24" fillId="0" borderId="33"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21" fillId="3" borderId="14" xfId="0" applyFont="1" applyFill="1" applyBorder="1" applyAlignment="1">
      <alignment horizontal="right"/>
    </xf>
    <xf numFmtId="0" fontId="21" fillId="3" borderId="5" xfId="0" applyFont="1" applyFill="1" applyBorder="1" applyAlignment="1">
      <alignment horizontal="right"/>
    </xf>
    <xf numFmtId="0" fontId="24" fillId="0" borderId="2" xfId="0" applyFont="1" applyBorder="1" applyAlignment="1">
      <alignment horizontal="center"/>
    </xf>
    <xf numFmtId="0" fontId="24" fillId="3" borderId="42"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22" xfId="0" applyFont="1" applyFill="1" applyBorder="1" applyAlignment="1">
      <alignment horizontal="center" vertical="center"/>
    </xf>
    <xf numFmtId="0" fontId="24" fillId="3" borderId="23" xfId="0" applyFont="1" applyFill="1" applyBorder="1" applyAlignment="1">
      <alignment horizontal="right"/>
    </xf>
    <xf numFmtId="0" fontId="24" fillId="3" borderId="12" xfId="0" applyFont="1" applyFill="1" applyBorder="1" applyAlignment="1">
      <alignment horizontal="right"/>
    </xf>
    <xf numFmtId="0" fontId="24" fillId="3" borderId="13" xfId="0" applyFont="1" applyFill="1" applyBorder="1" applyAlignment="1">
      <alignment horizontal="right"/>
    </xf>
    <xf numFmtId="0" fontId="21" fillId="0" borderId="34" xfId="0" applyFont="1" applyBorder="1" applyAlignment="1">
      <alignment horizontal="center"/>
    </xf>
    <xf numFmtId="0" fontId="21" fillId="0" borderId="41" xfId="0" applyFont="1" applyBorder="1" applyAlignment="1">
      <alignment horizontal="center"/>
    </xf>
    <xf numFmtId="0" fontId="21" fillId="9" borderId="0" xfId="0" applyFont="1" applyFill="1" applyAlignment="1">
      <alignment horizont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24" fillId="0" borderId="13" xfId="0" applyFont="1" applyBorder="1" applyAlignment="1">
      <alignment horizontal="right" vertical="center"/>
    </xf>
    <xf numFmtId="0" fontId="21" fillId="0" borderId="42" xfId="0" applyFont="1" applyBorder="1" applyAlignment="1">
      <alignment horizontal="center" vertical="top"/>
    </xf>
    <xf numFmtId="0" fontId="24" fillId="0" borderId="1" xfId="0" applyFont="1" applyBorder="1" applyAlignment="1">
      <alignment horizontal="center" vertical="top" wrapText="1"/>
    </xf>
    <xf numFmtId="0" fontId="24" fillId="0" borderId="23" xfId="0" applyFont="1" applyBorder="1" applyAlignment="1">
      <alignment horizontal="center" vertical="top"/>
    </xf>
    <xf numFmtId="0" fontId="24" fillId="0" borderId="13" xfId="0" applyFont="1" applyBorder="1" applyAlignment="1">
      <alignment horizontal="center" vertical="top"/>
    </xf>
    <xf numFmtId="0" fontId="21" fillId="0" borderId="23" xfId="0" applyFont="1" applyBorder="1" applyAlignment="1">
      <alignment horizontal="center" vertical="top"/>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4" fillId="0" borderId="1" xfId="0" applyFont="1" applyBorder="1" applyAlignment="1">
      <alignment horizontal="center" vertical="top"/>
    </xf>
    <xf numFmtId="0" fontId="21" fillId="0" borderId="9" xfId="0" applyFont="1" applyBorder="1" applyAlignment="1">
      <alignment horizontal="center" vertical="center"/>
    </xf>
    <xf numFmtId="0" fontId="24" fillId="8" borderId="1" xfId="0" applyFont="1" applyFill="1" applyBorder="1" applyAlignment="1">
      <alignment horizontal="center" vertical="center"/>
    </xf>
    <xf numFmtId="0" fontId="24" fillId="0" borderId="42" xfId="0" applyFont="1" applyBorder="1" applyAlignment="1">
      <alignment horizontal="center"/>
    </xf>
  </cellXfs>
  <cellStyles count="5">
    <cellStyle name="Comma" xfId="1" builtinId="3"/>
    <cellStyle name="Normal" xfId="0" builtinId="0"/>
    <cellStyle name="Normal 2" xfId="2" xr:uid="{B6550C07-FE74-4D63-BB43-68CFED926B3D}"/>
    <cellStyle name="Normal 4 2" xfId="3" xr:uid="{008BC2B5-639D-4D41-9521-8B56D8F024DD}"/>
    <cellStyle name="Normal 5" xfId="4" xr:uid="{7C28890A-D5D4-4B10-8BAB-6026A5A61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57150</xdr:colOff>
      <xdr:row>2</xdr:row>
      <xdr:rowOff>38100</xdr:rowOff>
    </xdr:from>
    <xdr:to>
      <xdr:col>16</xdr:col>
      <xdr:colOff>885825</xdr:colOff>
      <xdr:row>2</xdr:row>
      <xdr:rowOff>1314450</xdr:rowOff>
    </xdr:to>
    <xdr:pic>
      <xdr:nvPicPr>
        <xdr:cNvPr id="36136" name="Picture 1">
          <a:extLst>
            <a:ext uri="{FF2B5EF4-FFF2-40B4-BE49-F238E27FC236}">
              <a16:creationId xmlns:a16="http://schemas.microsoft.com/office/drawing/2014/main" id="{0769FDE2-BE38-E9E3-E8B0-208CEE598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01725" y="514350"/>
          <a:ext cx="8286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57150</xdr:colOff>
      <xdr:row>3</xdr:row>
      <xdr:rowOff>66675</xdr:rowOff>
    </xdr:from>
    <xdr:to>
      <xdr:col>16</xdr:col>
      <xdr:colOff>904875</xdr:colOff>
      <xdr:row>3</xdr:row>
      <xdr:rowOff>561975</xdr:rowOff>
    </xdr:to>
    <xdr:pic>
      <xdr:nvPicPr>
        <xdr:cNvPr id="36137" name="Picture 2">
          <a:extLst>
            <a:ext uri="{FF2B5EF4-FFF2-40B4-BE49-F238E27FC236}">
              <a16:creationId xmlns:a16="http://schemas.microsoft.com/office/drawing/2014/main" id="{5D19008E-FBA5-DDF3-9902-32E5AD9D5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01725" y="1895475"/>
          <a:ext cx="847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76200</xdr:colOff>
      <xdr:row>4</xdr:row>
      <xdr:rowOff>85725</xdr:rowOff>
    </xdr:from>
    <xdr:to>
      <xdr:col>16</xdr:col>
      <xdr:colOff>952500</xdr:colOff>
      <xdr:row>4</xdr:row>
      <xdr:rowOff>742950</xdr:rowOff>
    </xdr:to>
    <xdr:pic>
      <xdr:nvPicPr>
        <xdr:cNvPr id="36138" name="Picture 3">
          <a:extLst>
            <a:ext uri="{FF2B5EF4-FFF2-40B4-BE49-F238E27FC236}">
              <a16:creationId xmlns:a16="http://schemas.microsoft.com/office/drawing/2014/main" id="{1CEBBA40-A7AD-5D0F-8E33-64AFB1B14C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20775" y="2524125"/>
          <a:ext cx="876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2371725</xdr:colOff>
      <xdr:row>9</xdr:row>
      <xdr:rowOff>66675</xdr:rowOff>
    </xdr:from>
    <xdr:to>
      <xdr:col>19</xdr:col>
      <xdr:colOff>457200</xdr:colOff>
      <xdr:row>33</xdr:row>
      <xdr:rowOff>57150</xdr:rowOff>
    </xdr:to>
    <xdr:pic>
      <xdr:nvPicPr>
        <xdr:cNvPr id="36139" name="Picture 4">
          <a:extLst>
            <a:ext uri="{FF2B5EF4-FFF2-40B4-BE49-F238E27FC236}">
              <a16:creationId xmlns:a16="http://schemas.microsoft.com/office/drawing/2014/main" id="{7DCC57B3-122F-9F67-D147-D93EC9CAEA3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14625" y="4314825"/>
          <a:ext cx="13792200" cy="570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CD1A-E6CB-493E-9797-A1EA192954C4}">
  <sheetPr>
    <tabColor rgb="FFFF0000"/>
    <pageSetUpPr fitToPage="1"/>
  </sheetPr>
  <dimension ref="A1:H93"/>
  <sheetViews>
    <sheetView tabSelected="1" view="pageBreakPreview" zoomScale="60" zoomScaleNormal="70" workbookViewId="0">
      <pane xSplit="1" ySplit="5" topLeftCell="B6" activePane="bottomRight" state="frozen"/>
      <selection pane="topRight" activeCell="I9" sqref="I9"/>
      <selection pane="bottomLeft" activeCell="I9" sqref="I9"/>
      <selection pane="bottomRight" activeCell="O4" sqref="O4"/>
    </sheetView>
  </sheetViews>
  <sheetFormatPr defaultColWidth="9.1796875" defaultRowHeight="20" x14ac:dyDescent="0.35"/>
  <cols>
    <col min="1" max="1" width="7.1796875" style="14" customWidth="1"/>
    <col min="2" max="2" width="102.36328125" style="19" customWidth="1"/>
    <col min="3" max="3" width="9.453125" style="14" bestFit="1" customWidth="1"/>
    <col min="4" max="4" width="10.26953125" style="14" bestFit="1" customWidth="1"/>
    <col min="5" max="6" width="9.6328125" style="2" customWidth="1"/>
    <col min="7" max="7" width="23.90625" style="19" customWidth="1"/>
    <col min="8" max="16384" width="9.1796875" style="2"/>
  </cols>
  <sheetData>
    <row r="1" spans="1:8" x14ac:dyDescent="0.35">
      <c r="A1" s="300" t="s">
        <v>0</v>
      </c>
      <c r="B1" s="300"/>
      <c r="C1" s="300"/>
      <c r="D1" s="300"/>
      <c r="E1" s="300"/>
      <c r="F1" s="300"/>
      <c r="G1" s="300"/>
    </row>
    <row r="2" spans="1:8" x14ac:dyDescent="0.35">
      <c r="A2" s="301" t="s">
        <v>1</v>
      </c>
      <c r="B2" s="301"/>
      <c r="C2" s="301"/>
      <c r="D2" s="301"/>
      <c r="E2" s="301"/>
      <c r="F2" s="301"/>
      <c r="G2" s="301"/>
    </row>
    <row r="3" spans="1:8" s="18" customFormat="1" ht="40" x14ac:dyDescent="0.35">
      <c r="A3" s="266" t="s">
        <v>2</v>
      </c>
      <c r="B3" s="3" t="s">
        <v>3</v>
      </c>
      <c r="C3" s="266" t="s">
        <v>4</v>
      </c>
      <c r="D3" s="266" t="s">
        <v>5</v>
      </c>
      <c r="E3" s="266" t="s">
        <v>6</v>
      </c>
      <c r="F3" s="3" t="s">
        <v>7</v>
      </c>
      <c r="G3" s="3" t="s">
        <v>8</v>
      </c>
    </row>
    <row r="4" spans="1:8" s="18" customFormat="1" x14ac:dyDescent="0.35">
      <c r="A4" s="266"/>
      <c r="B4" s="288" t="s">
        <v>9</v>
      </c>
      <c r="C4" s="266"/>
      <c r="D4" s="266"/>
      <c r="E4" s="266"/>
      <c r="F4" s="3"/>
      <c r="G4" s="3"/>
    </row>
    <row r="5" spans="1:8" s="18" customFormat="1" x14ac:dyDescent="0.35">
      <c r="A5" s="27" t="s">
        <v>10</v>
      </c>
      <c r="B5" s="289" t="s">
        <v>11</v>
      </c>
      <c r="C5" s="27"/>
      <c r="D5" s="28"/>
      <c r="E5" s="27"/>
      <c r="F5" s="29"/>
      <c r="G5" s="29"/>
    </row>
    <row r="6" spans="1:8" ht="260" x14ac:dyDescent="0.35">
      <c r="A6" s="21">
        <v>1</v>
      </c>
      <c r="B6" s="26" t="s">
        <v>12</v>
      </c>
      <c r="C6" s="25" t="s">
        <v>13</v>
      </c>
      <c r="D6" s="4">
        <f>'Aluminium Partition work'!I9</f>
        <v>42.3705</v>
      </c>
      <c r="E6" s="4"/>
      <c r="F6" s="5"/>
      <c r="G6" s="1" t="s">
        <v>14</v>
      </c>
      <c r="H6" s="2" t="s">
        <v>15</v>
      </c>
    </row>
    <row r="7" spans="1:8" s="6" customFormat="1" x14ac:dyDescent="0.85">
      <c r="A7" s="27" t="s">
        <v>16</v>
      </c>
      <c r="B7" s="31" t="s">
        <v>17</v>
      </c>
      <c r="C7" s="30"/>
      <c r="D7" s="32"/>
      <c r="E7" s="33"/>
      <c r="F7" s="32"/>
      <c r="G7" s="250"/>
    </row>
    <row r="8" spans="1:8" ht="120" x14ac:dyDescent="0.35">
      <c r="A8" s="21">
        <v>2</v>
      </c>
      <c r="B8" s="26" t="s">
        <v>18</v>
      </c>
      <c r="C8" s="25" t="s">
        <v>13</v>
      </c>
      <c r="D8" s="4">
        <f>'Alum.Repairing (Build)'!I56</f>
        <v>9.4591800000000017</v>
      </c>
      <c r="E8" s="4"/>
      <c r="F8" s="5"/>
      <c r="G8" s="1" t="s">
        <v>19</v>
      </c>
      <c r="H8" s="2" t="s">
        <v>15</v>
      </c>
    </row>
    <row r="9" spans="1:8" ht="301.5" x14ac:dyDescent="0.35">
      <c r="A9" s="21">
        <v>3</v>
      </c>
      <c r="B9" s="26" t="s">
        <v>20</v>
      </c>
      <c r="C9" s="25" t="s">
        <v>13</v>
      </c>
      <c r="D9" s="4">
        <f>'New Doors'!I14+'Door Repairing ACP'!I34</f>
        <v>133.55724999999998</v>
      </c>
      <c r="E9" s="4"/>
      <c r="F9" s="5"/>
      <c r="G9" s="1" t="s">
        <v>21</v>
      </c>
      <c r="H9" s="2" t="s">
        <v>15</v>
      </c>
    </row>
    <row r="10" spans="1:8" ht="300" x14ac:dyDescent="0.35">
      <c r="A10" s="21">
        <v>4</v>
      </c>
      <c r="B10" s="35" t="s">
        <v>22</v>
      </c>
      <c r="C10" s="25" t="s">
        <v>23</v>
      </c>
      <c r="D10" s="34">
        <f>'Door Repairing ACP'!K34+'New Doors'!K14</f>
        <v>202.76500000000004</v>
      </c>
      <c r="E10" s="4"/>
      <c r="F10" s="5"/>
      <c r="G10" s="1"/>
      <c r="H10" s="2" t="s">
        <v>15</v>
      </c>
    </row>
    <row r="11" spans="1:8" s="18" customFormat="1" x14ac:dyDescent="0.35">
      <c r="A11" s="21">
        <v>5</v>
      </c>
      <c r="B11" s="1" t="s">
        <v>24</v>
      </c>
      <c r="C11" s="25" t="s">
        <v>25</v>
      </c>
      <c r="D11" s="21">
        <f>'Misc.Repairing Items'!I26</f>
        <v>16</v>
      </c>
      <c r="E11" s="25"/>
      <c r="F11" s="5"/>
      <c r="G11" s="1" t="s">
        <v>26</v>
      </c>
      <c r="H11" s="2" t="s">
        <v>15</v>
      </c>
    </row>
    <row r="12" spans="1:8" ht="40" x14ac:dyDescent="0.35">
      <c r="A12" s="21">
        <v>6</v>
      </c>
      <c r="B12" s="1" t="s">
        <v>27</v>
      </c>
      <c r="C12" s="25" t="s">
        <v>13</v>
      </c>
      <c r="D12" s="4">
        <f>Curtains!I19</f>
        <v>24.150000000000002</v>
      </c>
      <c r="E12" s="4"/>
      <c r="F12" s="5"/>
      <c r="G12" s="1" t="s">
        <v>28</v>
      </c>
      <c r="H12" s="2" t="s">
        <v>15</v>
      </c>
    </row>
    <row r="13" spans="1:8" s="18" customFormat="1" x14ac:dyDescent="0.35">
      <c r="A13" s="27" t="s">
        <v>29</v>
      </c>
      <c r="B13" s="31" t="s">
        <v>30</v>
      </c>
      <c r="C13" s="30"/>
      <c r="D13" s="32"/>
      <c r="E13" s="33"/>
      <c r="F13" s="32"/>
      <c r="G13" s="250"/>
    </row>
    <row r="14" spans="1:8" ht="40" x14ac:dyDescent="0.35">
      <c r="A14" s="21">
        <v>7</v>
      </c>
      <c r="B14" s="1" t="s">
        <v>31</v>
      </c>
      <c r="C14" s="25" t="s">
        <v>13</v>
      </c>
      <c r="D14" s="4">
        <f>'Booth Repairing'!I6</f>
        <v>55.743449999999996</v>
      </c>
      <c r="E14" s="4"/>
      <c r="F14" s="5"/>
      <c r="G14" s="1" t="s">
        <v>32</v>
      </c>
      <c r="H14" s="2" t="s">
        <v>33</v>
      </c>
    </row>
    <row r="15" spans="1:8" ht="260" x14ac:dyDescent="0.35">
      <c r="A15" s="14">
        <v>8</v>
      </c>
      <c r="B15" s="1" t="s">
        <v>34</v>
      </c>
      <c r="C15" s="25" t="s">
        <v>13</v>
      </c>
      <c r="D15" s="5">
        <f>'Booth Repairing'!I6+'Booth Repairing'!I7</f>
        <v>87.392489999999995</v>
      </c>
      <c r="E15" s="4"/>
      <c r="F15" s="36"/>
      <c r="G15" s="1" t="s">
        <v>35</v>
      </c>
      <c r="H15" s="2" t="s">
        <v>33</v>
      </c>
    </row>
    <row r="16" spans="1:8" s="18" customFormat="1" x14ac:dyDescent="0.35">
      <c r="A16" s="30" t="s">
        <v>36</v>
      </c>
      <c r="B16" s="31" t="s">
        <v>37</v>
      </c>
      <c r="C16" s="30"/>
      <c r="D16" s="32"/>
      <c r="E16" s="33"/>
      <c r="F16" s="32"/>
      <c r="G16" s="250"/>
    </row>
    <row r="17" spans="1:8" s="6" customFormat="1" ht="320" x14ac:dyDescent="0.85">
      <c r="A17" s="23">
        <f>A15+1</f>
        <v>9</v>
      </c>
      <c r="B17" s="7" t="s">
        <v>38</v>
      </c>
      <c r="C17" s="25" t="s">
        <v>13</v>
      </c>
      <c r="D17" s="5">
        <f>'Plaza Painting'!I210</f>
        <v>2280.6934750000014</v>
      </c>
      <c r="E17" s="4"/>
      <c r="F17" s="5"/>
      <c r="G17" s="15" t="s">
        <v>39</v>
      </c>
      <c r="H17" s="6" t="s">
        <v>15</v>
      </c>
    </row>
    <row r="18" spans="1:8" ht="269.5" x14ac:dyDescent="0.35">
      <c r="A18" s="8">
        <v>10</v>
      </c>
      <c r="B18" s="37" t="s">
        <v>40</v>
      </c>
      <c r="C18" s="25" t="s">
        <v>13</v>
      </c>
      <c r="D18" s="4">
        <f>'Plaza Painting'!T114</f>
        <v>1337.8710000000001</v>
      </c>
      <c r="E18" s="4"/>
      <c r="F18" s="5"/>
      <c r="G18" s="15" t="s">
        <v>39</v>
      </c>
      <c r="H18" s="2" t="s">
        <v>15</v>
      </c>
    </row>
    <row r="19" spans="1:8" ht="240" x14ac:dyDescent="0.85">
      <c r="A19" s="21">
        <v>11</v>
      </c>
      <c r="B19" s="7" t="s">
        <v>41</v>
      </c>
      <c r="C19" s="25" t="s">
        <v>42</v>
      </c>
      <c r="D19" s="4">
        <f>'Toll Plaza Enam. Painting'!I28</f>
        <v>2685.5003000000002</v>
      </c>
      <c r="E19" s="4"/>
      <c r="F19" s="5"/>
      <c r="G19" s="1" t="s">
        <v>43</v>
      </c>
      <c r="H19" s="2" t="s">
        <v>15</v>
      </c>
    </row>
    <row r="20" spans="1:8" s="6" customFormat="1" ht="340" x14ac:dyDescent="0.85">
      <c r="A20" s="23">
        <f>A19+1</f>
        <v>12</v>
      </c>
      <c r="B20" s="26" t="s">
        <v>44</v>
      </c>
      <c r="C20" s="25" t="s">
        <v>13</v>
      </c>
      <c r="D20" s="5">
        <f>'Toll Plaza Enam. Painting'!I63+'Toll Plaza Enam. Painting'!I60+'Toll Plaza Enam. Painting'!I52+'Toll Plaza Enam. Painting'!I42+'Toll Plaza Canopy Painting'!H19+'Toll Plaza Canopy Painting'!H8</f>
        <v>1591.5902400000002</v>
      </c>
      <c r="E20" s="4"/>
      <c r="F20" s="5"/>
      <c r="G20" s="15"/>
      <c r="H20" s="6" t="s">
        <v>15</v>
      </c>
    </row>
    <row r="21" spans="1:8" ht="340" x14ac:dyDescent="0.35">
      <c r="A21" s="21">
        <v>13</v>
      </c>
      <c r="B21" s="38" t="s">
        <v>45</v>
      </c>
      <c r="C21" s="25" t="s">
        <v>46</v>
      </c>
      <c r="D21" s="4">
        <f>'Toll Plaza Enam. Painting'!I30+'Toll Plaza Enam. Painting'!I31</f>
        <v>562.84</v>
      </c>
      <c r="E21" s="4"/>
      <c r="F21" s="5"/>
      <c r="G21" s="1"/>
      <c r="H21" s="2" t="s">
        <v>15</v>
      </c>
    </row>
    <row r="22" spans="1:8" ht="360" x14ac:dyDescent="0.35">
      <c r="A22" s="21">
        <v>14</v>
      </c>
      <c r="B22" s="1" t="s">
        <v>47</v>
      </c>
      <c r="C22" s="25" t="s">
        <v>46</v>
      </c>
      <c r="D22" s="4">
        <f>'Toll Plaza Enam. Painting'!I33</f>
        <v>565</v>
      </c>
      <c r="E22" s="4"/>
      <c r="F22" s="5"/>
      <c r="G22" s="1"/>
      <c r="H22" s="2" t="s">
        <v>15</v>
      </c>
    </row>
    <row r="23" spans="1:8" s="18" customFormat="1" x14ac:dyDescent="0.35">
      <c r="A23" s="30" t="s">
        <v>48</v>
      </c>
      <c r="B23" s="31" t="s">
        <v>49</v>
      </c>
      <c r="C23" s="30"/>
      <c r="D23" s="32"/>
      <c r="E23" s="33"/>
      <c r="F23" s="32"/>
      <c r="G23" s="250"/>
      <c r="H23" s="18" t="s">
        <v>15</v>
      </c>
    </row>
    <row r="24" spans="1:8" s="6" customFormat="1" ht="289" x14ac:dyDescent="0.85">
      <c r="A24" s="23">
        <v>15</v>
      </c>
      <c r="B24" s="39" t="s">
        <v>50</v>
      </c>
      <c r="C24" s="25" t="s">
        <v>51</v>
      </c>
      <c r="D24" s="5">
        <f>'Misc.Repairing Items'!I24</f>
        <v>10</v>
      </c>
      <c r="E24" s="4"/>
      <c r="F24" s="5"/>
      <c r="G24" s="7"/>
      <c r="H24" s="6" t="s">
        <v>15</v>
      </c>
    </row>
    <row r="25" spans="1:8" s="6" customFormat="1" ht="136" x14ac:dyDescent="0.85">
      <c r="A25" s="23">
        <v>16</v>
      </c>
      <c r="B25" s="40" t="s">
        <v>52</v>
      </c>
      <c r="C25" s="25" t="s">
        <v>13</v>
      </c>
      <c r="D25" s="5">
        <f>D17*5%+'Toll Plaza Enam. Painting'!I23*20%</f>
        <v>227.25827375000011</v>
      </c>
      <c r="E25" s="4"/>
      <c r="F25" s="5"/>
      <c r="G25" s="7"/>
      <c r="H25" s="6" t="s">
        <v>15</v>
      </c>
    </row>
    <row r="26" spans="1:8" s="6" customFormat="1" ht="140" x14ac:dyDescent="0.85">
      <c r="A26" s="23">
        <v>17</v>
      </c>
      <c r="B26" s="41" t="s">
        <v>53</v>
      </c>
      <c r="C26" s="25" t="s">
        <v>13</v>
      </c>
      <c r="D26" s="5">
        <f>'Misc.Repairing Items'!I19</f>
        <v>231.04000000000002</v>
      </c>
      <c r="E26" s="4"/>
      <c r="F26" s="5"/>
      <c r="G26" s="265" t="s">
        <v>54</v>
      </c>
      <c r="H26" s="6" t="s">
        <v>15</v>
      </c>
    </row>
    <row r="27" spans="1:8" ht="300" x14ac:dyDescent="0.85">
      <c r="A27" s="21">
        <v>18</v>
      </c>
      <c r="B27" s="7" t="s">
        <v>55</v>
      </c>
      <c r="C27" s="25" t="s">
        <v>56</v>
      </c>
      <c r="D27" s="4">
        <f>'Misc.Repairing Items'!I25+'MS Gates'!I8+'Misc.Repairing Items'!I32+'Misc.Repairing Items'!I33</f>
        <v>7.75</v>
      </c>
      <c r="E27" s="4"/>
      <c r="F27" s="5"/>
      <c r="G27" s="1"/>
      <c r="H27" s="2" t="s">
        <v>15</v>
      </c>
    </row>
    <row r="28" spans="1:8" s="6" customFormat="1" ht="160" x14ac:dyDescent="0.85">
      <c r="A28" s="23">
        <v>19</v>
      </c>
      <c r="B28" s="42" t="s">
        <v>57</v>
      </c>
      <c r="C28" s="25" t="s">
        <v>58</v>
      </c>
      <c r="D28" s="5">
        <f>'Misc.Repairing Items'!I9+'Misc.Repairing Items'!I10+'Misc.Repairing Items'!I11+'Misc.Repairing Items'!I12</f>
        <v>2.5329999999999999</v>
      </c>
      <c r="E28" s="9"/>
      <c r="F28" s="5"/>
      <c r="G28" s="258"/>
      <c r="H28" s="2" t="s">
        <v>15</v>
      </c>
    </row>
    <row r="29" spans="1:8" s="6" customFormat="1" ht="100" x14ac:dyDescent="0.85">
      <c r="A29" s="23">
        <v>20</v>
      </c>
      <c r="B29" s="263" t="s">
        <v>59</v>
      </c>
      <c r="C29" s="25" t="s">
        <v>13</v>
      </c>
      <c r="D29" s="5">
        <f>'Misc.Repairing Items'!I14+'Misc.Repairing Items'!I15</f>
        <v>216.2</v>
      </c>
      <c r="E29" s="9"/>
      <c r="F29" s="5"/>
      <c r="G29" s="258"/>
      <c r="H29" s="2"/>
    </row>
    <row r="30" spans="1:8" s="6" customFormat="1" ht="40" x14ac:dyDescent="0.85">
      <c r="A30" s="23">
        <v>21</v>
      </c>
      <c r="B30" s="10" t="s">
        <v>60</v>
      </c>
      <c r="C30" s="25" t="s">
        <v>61</v>
      </c>
      <c r="D30" s="5">
        <v>1</v>
      </c>
      <c r="E30" s="9"/>
      <c r="F30" s="5"/>
      <c r="G30" s="7"/>
      <c r="H30" s="6" t="s">
        <v>15</v>
      </c>
    </row>
    <row r="31" spans="1:8" s="6" customFormat="1" ht="240" x14ac:dyDescent="0.85">
      <c r="A31" s="23">
        <v>22</v>
      </c>
      <c r="B31" s="16" t="s">
        <v>62</v>
      </c>
      <c r="C31" s="25" t="s">
        <v>63</v>
      </c>
      <c r="D31" s="5">
        <f>'Misc.Repairing Items'!I27</f>
        <v>66</v>
      </c>
      <c r="E31" s="9"/>
      <c r="F31" s="5"/>
      <c r="G31" s="7"/>
      <c r="H31" s="6" t="s">
        <v>15</v>
      </c>
    </row>
    <row r="32" spans="1:8" s="48" customFormat="1" ht="100" x14ac:dyDescent="0.35">
      <c r="A32" s="44">
        <v>23</v>
      </c>
      <c r="B32" s="43" t="s">
        <v>64</v>
      </c>
      <c r="C32" s="45" t="s">
        <v>65</v>
      </c>
      <c r="D32" s="46">
        <f>'Misc.Repairing Items'!I23</f>
        <v>60</v>
      </c>
      <c r="E32" s="47"/>
      <c r="F32" s="5"/>
      <c r="G32" s="41"/>
      <c r="H32" s="48" t="s">
        <v>15</v>
      </c>
    </row>
    <row r="33" spans="1:8" s="49" customFormat="1" ht="40" x14ac:dyDescent="0.35">
      <c r="A33" s="21">
        <v>24</v>
      </c>
      <c r="B33" s="12" t="s">
        <v>66</v>
      </c>
      <c r="C33" s="21" t="s">
        <v>46</v>
      </c>
      <c r="D33" s="252">
        <f>'Misc.Repairing Items'!I28</f>
        <v>76</v>
      </c>
      <c r="E33" s="8"/>
      <c r="F33" s="34"/>
      <c r="G33" s="12"/>
    </row>
    <row r="34" spans="1:8" s="49" customFormat="1" ht="100" x14ac:dyDescent="0.35">
      <c r="A34" s="21">
        <v>25</v>
      </c>
      <c r="B34" s="12" t="s">
        <v>67</v>
      </c>
      <c r="C34" s="21" t="s">
        <v>56</v>
      </c>
      <c r="D34" s="21">
        <f>'Misc.Repairing Items'!I29</f>
        <v>6.1440000000000019</v>
      </c>
      <c r="E34" s="262"/>
      <c r="F34" s="34"/>
      <c r="G34" s="12"/>
    </row>
    <row r="35" spans="1:8" s="49" customFormat="1" ht="300" x14ac:dyDescent="0.35">
      <c r="A35" s="21">
        <v>26</v>
      </c>
      <c r="B35" s="264" t="s">
        <v>68</v>
      </c>
      <c r="C35" s="21" t="s">
        <v>56</v>
      </c>
      <c r="D35" s="21">
        <f>'MS Gates'!I11+'Misc.Repairing Items'!I5</f>
        <v>16.8</v>
      </c>
      <c r="E35" s="262"/>
      <c r="F35" s="34"/>
      <c r="G35" s="12" t="s">
        <v>69</v>
      </c>
    </row>
    <row r="36" spans="1:8" s="49" customFormat="1" ht="280" x14ac:dyDescent="0.35">
      <c r="A36" s="21">
        <v>27</v>
      </c>
      <c r="B36" s="263" t="s">
        <v>70</v>
      </c>
      <c r="C36" s="21" t="s">
        <v>71</v>
      </c>
      <c r="D36" s="21">
        <f>'MS Gates'!I13+'Misc.Repairing Items'!I6</f>
        <v>1875</v>
      </c>
      <c r="E36" s="262"/>
      <c r="F36" s="34"/>
      <c r="G36" s="12" t="s">
        <v>72</v>
      </c>
    </row>
    <row r="37" spans="1:8" s="18" customFormat="1" x14ac:dyDescent="0.35">
      <c r="A37" s="30" t="s">
        <v>73</v>
      </c>
      <c r="B37" s="31" t="s">
        <v>74</v>
      </c>
      <c r="C37" s="30"/>
      <c r="D37" s="32"/>
      <c r="E37" s="33"/>
      <c r="F37" s="32"/>
      <c r="G37" s="250"/>
    </row>
    <row r="38" spans="1:8" ht="200" x14ac:dyDescent="0.35">
      <c r="A38" s="23">
        <v>26</v>
      </c>
      <c r="B38" s="10" t="s">
        <v>75</v>
      </c>
      <c r="C38" s="21" t="s">
        <v>46</v>
      </c>
      <c r="D38" s="17">
        <f>'Toll plaza Boundary'!I4</f>
        <v>580</v>
      </c>
      <c r="E38" s="8"/>
      <c r="F38" s="5"/>
      <c r="G38" s="12"/>
      <c r="H38" s="2" t="s">
        <v>33</v>
      </c>
    </row>
    <row r="39" spans="1:8" ht="60" x14ac:dyDescent="0.35">
      <c r="A39" s="23">
        <v>27</v>
      </c>
      <c r="B39" s="10" t="s">
        <v>76</v>
      </c>
      <c r="C39" s="21" t="s">
        <v>13</v>
      </c>
      <c r="D39" s="17">
        <f>'Toll plaza Boundary'!I5</f>
        <v>761.40000000000009</v>
      </c>
      <c r="E39" s="8"/>
      <c r="F39" s="5"/>
      <c r="G39" s="12"/>
    </row>
    <row r="40" spans="1:8" ht="60" x14ac:dyDescent="0.35">
      <c r="A40" s="23">
        <v>27</v>
      </c>
      <c r="B40" s="11" t="s">
        <v>77</v>
      </c>
      <c r="C40" s="21" t="s">
        <v>46</v>
      </c>
      <c r="D40" s="17">
        <f>'Toll plaza Boundary'!I6</f>
        <v>30</v>
      </c>
      <c r="E40" s="21"/>
      <c r="F40" s="5"/>
      <c r="G40" s="12"/>
      <c r="H40" s="2" t="s">
        <v>33</v>
      </c>
    </row>
    <row r="41" spans="1:8" ht="40" x14ac:dyDescent="0.35">
      <c r="A41" s="23">
        <v>28</v>
      </c>
      <c r="B41" s="12" t="s">
        <v>78</v>
      </c>
      <c r="C41" s="21" t="s">
        <v>46</v>
      </c>
      <c r="D41" s="21">
        <f>'Toll plaza Boundary'!I7</f>
        <v>30</v>
      </c>
      <c r="E41" s="21"/>
      <c r="F41" s="5"/>
      <c r="G41" s="12"/>
      <c r="H41" s="2" t="s">
        <v>33</v>
      </c>
    </row>
    <row r="42" spans="1:8" s="18" customFormat="1" x14ac:dyDescent="0.35">
      <c r="A42" s="30" t="s">
        <v>79</v>
      </c>
      <c r="B42" s="31" t="s">
        <v>80</v>
      </c>
      <c r="C42" s="30"/>
      <c r="D42" s="32"/>
      <c r="E42" s="33"/>
      <c r="F42" s="32"/>
      <c r="G42" s="250"/>
    </row>
    <row r="43" spans="1:8" ht="409.5" x14ac:dyDescent="0.85">
      <c r="A43" s="23">
        <v>29</v>
      </c>
      <c r="B43" s="50" t="s">
        <v>81</v>
      </c>
      <c r="C43" s="21" t="s">
        <v>71</v>
      </c>
      <c r="D43" s="17">
        <f>'MS Gates'!I21+'Misc.Repairing Items'!I30</f>
        <v>8519</v>
      </c>
      <c r="E43" s="8"/>
      <c r="F43" s="5"/>
      <c r="G43" s="12"/>
      <c r="H43" s="2" t="s">
        <v>15</v>
      </c>
    </row>
    <row r="44" spans="1:8" s="18" customFormat="1" x14ac:dyDescent="0.35">
      <c r="A44" s="30" t="s">
        <v>82</v>
      </c>
      <c r="B44" s="31" t="s">
        <v>83</v>
      </c>
      <c r="C44" s="30"/>
      <c r="D44" s="32"/>
      <c r="E44" s="33"/>
      <c r="F44" s="32"/>
      <c r="G44" s="250"/>
    </row>
    <row r="45" spans="1:8" ht="60" x14ac:dyDescent="0.85">
      <c r="A45" s="21">
        <v>30</v>
      </c>
      <c r="B45" s="51" t="s">
        <v>84</v>
      </c>
      <c r="C45" s="25" t="s">
        <v>13</v>
      </c>
      <c r="D45" s="25">
        <f>' Tiles '!I7</f>
        <v>144.30000000000001</v>
      </c>
      <c r="E45" s="9"/>
      <c r="F45" s="5"/>
      <c r="G45" s="1"/>
      <c r="H45" s="2" t="s">
        <v>33</v>
      </c>
    </row>
    <row r="46" spans="1:8" ht="120" x14ac:dyDescent="0.35">
      <c r="A46" s="21">
        <v>31</v>
      </c>
      <c r="B46" s="1" t="s">
        <v>85</v>
      </c>
      <c r="C46" s="25" t="s">
        <v>42</v>
      </c>
      <c r="D46" s="25">
        <f>' Tiles '!I19</f>
        <v>111.22</v>
      </c>
      <c r="E46" s="9"/>
      <c r="F46" s="5"/>
      <c r="G46" s="1"/>
      <c r="H46" s="2" t="s">
        <v>33</v>
      </c>
    </row>
    <row r="47" spans="1:8" ht="100" x14ac:dyDescent="0.35">
      <c r="A47" s="21">
        <v>32</v>
      </c>
      <c r="B47" s="20" t="s">
        <v>86</v>
      </c>
      <c r="C47" s="25" t="s">
        <v>42</v>
      </c>
      <c r="D47" s="25">
        <f>' Tiles '!I12</f>
        <v>187.5</v>
      </c>
      <c r="E47" s="9"/>
      <c r="F47" s="5"/>
      <c r="G47" s="1"/>
      <c r="H47" s="2" t="s">
        <v>33</v>
      </c>
    </row>
    <row r="48" spans="1:8" ht="120" x14ac:dyDescent="0.85">
      <c r="A48" s="21">
        <v>33</v>
      </c>
      <c r="B48" s="7" t="s">
        <v>87</v>
      </c>
      <c r="C48" s="25" t="s">
        <v>42</v>
      </c>
      <c r="D48" s="21">
        <f>' Tiles '!I23</f>
        <v>24.8</v>
      </c>
      <c r="E48" s="9"/>
      <c r="F48" s="5"/>
      <c r="G48" s="1"/>
      <c r="H48" s="2" t="s">
        <v>33</v>
      </c>
    </row>
    <row r="49" spans="1:8" s="18" customFormat="1" x14ac:dyDescent="0.35">
      <c r="A49" s="30" t="s">
        <v>88</v>
      </c>
      <c r="B49" s="31" t="s">
        <v>89</v>
      </c>
      <c r="C49" s="30"/>
      <c r="D49" s="32"/>
      <c r="E49" s="33"/>
      <c r="F49" s="32"/>
      <c r="G49" s="250"/>
    </row>
    <row r="50" spans="1:8" x14ac:dyDescent="0.35">
      <c r="A50" s="21">
        <v>34</v>
      </c>
      <c r="B50" s="1" t="s">
        <v>90</v>
      </c>
      <c r="C50" s="25" t="s">
        <v>91</v>
      </c>
      <c r="D50" s="13">
        <f>'Plumbing and Sanitary Items'!I4</f>
        <v>14</v>
      </c>
      <c r="E50" s="9"/>
      <c r="F50" s="5"/>
      <c r="G50" s="1"/>
      <c r="H50" s="2" t="s">
        <v>33</v>
      </c>
    </row>
    <row r="51" spans="1:8" x14ac:dyDescent="0.35">
      <c r="A51" s="21">
        <v>35</v>
      </c>
      <c r="B51" s="1" t="s">
        <v>92</v>
      </c>
      <c r="C51" s="25" t="s">
        <v>91</v>
      </c>
      <c r="D51" s="13">
        <f>'Plumbing and Sanitary Items'!I5</f>
        <v>8</v>
      </c>
      <c r="E51" s="9"/>
      <c r="F51" s="5"/>
      <c r="G51" s="1"/>
      <c r="H51" s="2" t="s">
        <v>33</v>
      </c>
    </row>
    <row r="52" spans="1:8" ht="60" x14ac:dyDescent="0.35">
      <c r="A52" s="21">
        <v>36</v>
      </c>
      <c r="B52" s="1" t="s">
        <v>93</v>
      </c>
      <c r="C52" s="25" t="s">
        <v>91</v>
      </c>
      <c r="D52" s="13">
        <f>'Plumbing and Sanitary Items'!I6</f>
        <v>6</v>
      </c>
      <c r="E52" s="9"/>
      <c r="F52" s="5"/>
      <c r="G52" s="1"/>
      <c r="H52" s="2" t="s">
        <v>33</v>
      </c>
    </row>
    <row r="53" spans="1:8" x14ac:dyDescent="0.35">
      <c r="A53" s="21">
        <v>37</v>
      </c>
      <c r="B53" s="1" t="s">
        <v>94</v>
      </c>
      <c r="C53" s="25" t="s">
        <v>91</v>
      </c>
      <c r="D53" s="13">
        <f>'Plumbing and Sanitary Items'!I7</f>
        <v>13</v>
      </c>
      <c r="E53" s="9"/>
      <c r="F53" s="5"/>
      <c r="G53" s="1"/>
      <c r="H53" s="2" t="s">
        <v>33</v>
      </c>
    </row>
    <row r="54" spans="1:8" x14ac:dyDescent="0.35">
      <c r="A54" s="21">
        <v>38</v>
      </c>
      <c r="B54" s="22" t="s">
        <v>95</v>
      </c>
      <c r="C54" s="25" t="s">
        <v>91</v>
      </c>
      <c r="D54" s="13">
        <f>'Plumbing and Sanitary Items'!I8</f>
        <v>14</v>
      </c>
      <c r="E54" s="9"/>
      <c r="F54" s="5"/>
      <c r="G54" s="1"/>
      <c r="H54" s="2" t="s">
        <v>33</v>
      </c>
    </row>
    <row r="55" spans="1:8" x14ac:dyDescent="0.35">
      <c r="A55" s="21">
        <v>39</v>
      </c>
      <c r="B55" s="22" t="s">
        <v>96</v>
      </c>
      <c r="C55" s="25" t="s">
        <v>91</v>
      </c>
      <c r="D55" s="13">
        <f>'Plumbing and Sanitary Items'!I9</f>
        <v>2</v>
      </c>
      <c r="E55" s="9"/>
      <c r="F55" s="5"/>
      <c r="G55" s="1"/>
      <c r="H55" s="2" t="s">
        <v>33</v>
      </c>
    </row>
    <row r="56" spans="1:8" x14ac:dyDescent="0.35">
      <c r="A56" s="21">
        <v>40</v>
      </c>
      <c r="B56" s="1" t="s">
        <v>97</v>
      </c>
      <c r="C56" s="25" t="s">
        <v>91</v>
      </c>
      <c r="D56" s="13">
        <f>'Plumbing and Sanitary Items'!I10</f>
        <v>2</v>
      </c>
      <c r="E56" s="9"/>
      <c r="F56" s="5"/>
      <c r="G56" s="1"/>
      <c r="H56" s="2" t="s">
        <v>33</v>
      </c>
    </row>
    <row r="57" spans="1:8" x14ac:dyDescent="0.35">
      <c r="A57" s="21">
        <v>41</v>
      </c>
      <c r="B57" s="1" t="s">
        <v>98</v>
      </c>
      <c r="C57" s="25" t="s">
        <v>91</v>
      </c>
      <c r="D57" s="13">
        <f>'Plumbing and Sanitary Items'!I11</f>
        <v>2</v>
      </c>
      <c r="E57" s="9"/>
      <c r="F57" s="5"/>
      <c r="G57" s="1"/>
      <c r="H57" s="2" t="s">
        <v>33</v>
      </c>
    </row>
    <row r="58" spans="1:8" x14ac:dyDescent="0.35">
      <c r="A58" s="21">
        <v>42</v>
      </c>
      <c r="B58" s="1" t="s">
        <v>99</v>
      </c>
      <c r="C58" s="25" t="s">
        <v>100</v>
      </c>
      <c r="D58" s="13">
        <f>'Plumbing and Sanitary Items'!I12</f>
        <v>30</v>
      </c>
      <c r="E58" s="9"/>
      <c r="F58" s="5"/>
      <c r="G58" s="1"/>
      <c r="H58" s="2" t="s">
        <v>33</v>
      </c>
    </row>
    <row r="59" spans="1:8" x14ac:dyDescent="0.35">
      <c r="A59" s="21">
        <v>43</v>
      </c>
      <c r="B59" s="1" t="s">
        <v>101</v>
      </c>
      <c r="C59" s="25" t="s">
        <v>100</v>
      </c>
      <c r="D59" s="13">
        <f>'Plumbing and Sanitary Items'!I13</f>
        <v>30</v>
      </c>
      <c r="E59" s="9"/>
      <c r="F59" s="5"/>
      <c r="G59" s="1"/>
      <c r="H59" s="2" t="s">
        <v>33</v>
      </c>
    </row>
    <row r="60" spans="1:8" ht="40" x14ac:dyDescent="0.35">
      <c r="A60" s="21">
        <v>44</v>
      </c>
      <c r="B60" s="10" t="s">
        <v>102</v>
      </c>
      <c r="C60" s="25" t="s">
        <v>103</v>
      </c>
      <c r="D60" s="13">
        <v>1</v>
      </c>
      <c r="E60" s="52"/>
      <c r="F60" s="5"/>
      <c r="G60" s="1"/>
      <c r="H60" s="2" t="s">
        <v>33</v>
      </c>
    </row>
    <row r="61" spans="1:8" ht="120" x14ac:dyDescent="0.35">
      <c r="A61" s="21">
        <v>45</v>
      </c>
      <c r="B61" s="16" t="s">
        <v>104</v>
      </c>
      <c r="C61" s="25" t="s">
        <v>46</v>
      </c>
      <c r="D61" s="13">
        <f>'Plumbing and Sanitary Items'!I14</f>
        <v>72</v>
      </c>
      <c r="E61" s="9"/>
      <c r="F61" s="5"/>
      <c r="G61" s="1"/>
      <c r="H61" s="2" t="s">
        <v>33</v>
      </c>
    </row>
    <row r="62" spans="1:8" s="18" customFormat="1" x14ac:dyDescent="0.35">
      <c r="A62" s="30" t="s">
        <v>105</v>
      </c>
      <c r="B62" s="31" t="s">
        <v>106</v>
      </c>
      <c r="C62" s="30"/>
      <c r="D62" s="32"/>
      <c r="E62" s="33"/>
      <c r="F62" s="32"/>
      <c r="G62" s="250"/>
    </row>
    <row r="63" spans="1:8" ht="60" x14ac:dyDescent="0.35">
      <c r="A63" s="23">
        <v>1</v>
      </c>
      <c r="B63" s="53" t="s">
        <v>107</v>
      </c>
      <c r="C63" s="23"/>
      <c r="D63" s="23"/>
      <c r="E63" s="23"/>
      <c r="F63" s="24"/>
      <c r="G63" s="24"/>
    </row>
    <row r="64" spans="1:8" x14ac:dyDescent="0.35">
      <c r="A64" s="25" t="s">
        <v>10</v>
      </c>
      <c r="B64" s="1" t="s">
        <v>108</v>
      </c>
      <c r="C64" s="25" t="s">
        <v>91</v>
      </c>
      <c r="D64" s="4">
        <v>0</v>
      </c>
      <c r="E64" s="9"/>
      <c r="F64" s="54"/>
      <c r="G64" s="1"/>
    </row>
    <row r="65" spans="1:7" x14ac:dyDescent="0.35">
      <c r="A65" s="25" t="s">
        <v>16</v>
      </c>
      <c r="B65" s="1" t="s">
        <v>109</v>
      </c>
      <c r="C65" s="25" t="s">
        <v>91</v>
      </c>
      <c r="D65" s="4">
        <f>'Elec-Ground Floor'!K20</f>
        <v>8</v>
      </c>
      <c r="E65" s="9"/>
      <c r="F65" s="54"/>
      <c r="G65" s="1"/>
    </row>
    <row r="66" spans="1:7" x14ac:dyDescent="0.35">
      <c r="A66" s="25" t="s">
        <v>29</v>
      </c>
      <c r="B66" s="1" t="s">
        <v>110</v>
      </c>
      <c r="C66" s="25" t="s">
        <v>91</v>
      </c>
      <c r="D66" s="4">
        <f>'Elec-First Floor'!L6+'Elec-Ground Floor'!K5</f>
        <v>8</v>
      </c>
      <c r="E66" s="9"/>
      <c r="F66" s="54"/>
      <c r="G66" s="1"/>
    </row>
    <row r="67" spans="1:7" x14ac:dyDescent="0.35">
      <c r="A67" s="25" t="s">
        <v>36</v>
      </c>
      <c r="B67" s="1" t="s">
        <v>111</v>
      </c>
      <c r="C67" s="25" t="s">
        <v>91</v>
      </c>
      <c r="D67" s="4">
        <f>'Elec-First Floor'!L7+'Elec-Ground Floor'!K6</f>
        <v>17</v>
      </c>
      <c r="E67" s="9"/>
      <c r="F67" s="54"/>
      <c r="G67" s="1"/>
    </row>
    <row r="68" spans="1:7" x14ac:dyDescent="0.35">
      <c r="A68" s="25" t="s">
        <v>112</v>
      </c>
      <c r="B68" s="1" t="s">
        <v>113</v>
      </c>
      <c r="C68" s="25" t="s">
        <v>91</v>
      </c>
      <c r="D68" s="4">
        <f>'Elec-First Floor'!L8+'Elec-Ground Floor'!K7</f>
        <v>38</v>
      </c>
      <c r="E68" s="9"/>
      <c r="F68" s="54"/>
      <c r="G68" s="1"/>
    </row>
    <row r="69" spans="1:7" x14ac:dyDescent="0.35">
      <c r="A69" s="25" t="s">
        <v>114</v>
      </c>
      <c r="B69" s="1" t="s">
        <v>115</v>
      </c>
      <c r="C69" s="25" t="s">
        <v>91</v>
      </c>
      <c r="D69" s="4">
        <f>'Elec-Ground Floor'!K8</f>
        <v>7</v>
      </c>
      <c r="E69" s="9"/>
      <c r="F69" s="54"/>
      <c r="G69" s="1"/>
    </row>
    <row r="70" spans="1:7" x14ac:dyDescent="0.35">
      <c r="A70" s="25" t="s">
        <v>116</v>
      </c>
      <c r="B70" s="1" t="s">
        <v>117</v>
      </c>
      <c r="C70" s="25" t="s">
        <v>91</v>
      </c>
      <c r="D70" s="4">
        <f>'Elec-First Floor'!L10+'Elec-Ground Floor'!K10</f>
        <v>53</v>
      </c>
      <c r="E70" s="9"/>
      <c r="F70" s="54"/>
      <c r="G70" s="1"/>
    </row>
    <row r="71" spans="1:7" x14ac:dyDescent="0.35">
      <c r="A71" s="25" t="s">
        <v>118</v>
      </c>
      <c r="B71" s="1" t="s">
        <v>119</v>
      </c>
      <c r="C71" s="25" t="s">
        <v>91</v>
      </c>
      <c r="D71" s="4">
        <f>'Elec-First Floor'!L9+'Elec-Ground Floor'!K9</f>
        <v>42</v>
      </c>
      <c r="E71" s="9"/>
      <c r="F71" s="54"/>
      <c r="G71" s="1"/>
    </row>
    <row r="72" spans="1:7" x14ac:dyDescent="0.35">
      <c r="A72" s="25" t="s">
        <v>120</v>
      </c>
      <c r="B72" s="1" t="s">
        <v>121</v>
      </c>
      <c r="C72" s="25" t="s">
        <v>91</v>
      </c>
      <c r="D72" s="4">
        <f>'Elec-First Floor'!L12+'Elec-Ground Floor'!K12</f>
        <v>72</v>
      </c>
      <c r="E72" s="9"/>
      <c r="F72" s="54"/>
      <c r="G72" s="1"/>
    </row>
    <row r="73" spans="1:7" x14ac:dyDescent="0.35">
      <c r="A73" s="25" t="s">
        <v>122</v>
      </c>
      <c r="B73" s="1" t="s">
        <v>123</v>
      </c>
      <c r="C73" s="25" t="s">
        <v>91</v>
      </c>
      <c r="D73" s="4">
        <f>'Elec-First Floor'!L11+'Elec-Ground Floor'!K11</f>
        <v>168</v>
      </c>
      <c r="E73" s="9"/>
      <c r="F73" s="54"/>
      <c r="G73" s="1"/>
    </row>
    <row r="74" spans="1:7" x14ac:dyDescent="0.35">
      <c r="A74" s="25" t="s">
        <v>124</v>
      </c>
      <c r="B74" s="1" t="s">
        <v>125</v>
      </c>
      <c r="C74" s="25" t="s">
        <v>91</v>
      </c>
      <c r="D74" s="4">
        <f>'Elec-First Floor'!L14+'Elec-Ground Floor'!K14</f>
        <v>26</v>
      </c>
      <c r="E74" s="9"/>
      <c r="F74" s="54"/>
      <c r="G74" s="1"/>
    </row>
    <row r="75" spans="1:7" x14ac:dyDescent="0.35">
      <c r="A75" s="25" t="s">
        <v>126</v>
      </c>
      <c r="B75" s="1" t="s">
        <v>127</v>
      </c>
      <c r="C75" s="25" t="s">
        <v>91</v>
      </c>
      <c r="D75" s="4">
        <f>'Elec-First Floor'!L16+'Elec-Ground Floor'!K16</f>
        <v>32</v>
      </c>
      <c r="E75" s="9"/>
      <c r="F75" s="54"/>
      <c r="G75" s="1"/>
    </row>
    <row r="76" spans="1:7" x14ac:dyDescent="0.35">
      <c r="A76" s="25" t="s">
        <v>128</v>
      </c>
      <c r="B76" s="1" t="s">
        <v>129</v>
      </c>
      <c r="C76" s="25" t="s">
        <v>91</v>
      </c>
      <c r="D76" s="4">
        <v>0</v>
      </c>
      <c r="E76" s="9"/>
      <c r="F76" s="54"/>
      <c r="G76" s="1"/>
    </row>
    <row r="77" spans="1:7" x14ac:dyDescent="0.35">
      <c r="A77" s="25" t="s">
        <v>130</v>
      </c>
      <c r="B77" s="1" t="s">
        <v>131</v>
      </c>
      <c r="C77" s="25" t="s">
        <v>91</v>
      </c>
      <c r="D77" s="4">
        <v>0</v>
      </c>
      <c r="E77" s="9"/>
      <c r="F77" s="54"/>
      <c r="G77" s="1"/>
    </row>
    <row r="78" spans="1:7" x14ac:dyDescent="0.35">
      <c r="A78" s="25" t="s">
        <v>132</v>
      </c>
      <c r="B78" s="1" t="s">
        <v>133</v>
      </c>
      <c r="C78" s="25" t="s">
        <v>91</v>
      </c>
      <c r="D78" s="4">
        <v>0</v>
      </c>
      <c r="E78" s="9"/>
      <c r="F78" s="54"/>
      <c r="G78" s="1"/>
    </row>
    <row r="79" spans="1:7" x14ac:dyDescent="0.35">
      <c r="A79" s="25" t="s">
        <v>134</v>
      </c>
      <c r="B79" s="1" t="s">
        <v>135</v>
      </c>
      <c r="C79" s="25" t="s">
        <v>91</v>
      </c>
      <c r="D79" s="4">
        <f>'Elec-Ground Floor'!K24</f>
        <v>12</v>
      </c>
      <c r="E79" s="9"/>
      <c r="F79" s="54"/>
      <c r="G79" s="1"/>
    </row>
    <row r="80" spans="1:7" x14ac:dyDescent="0.35">
      <c r="A80" s="25" t="s">
        <v>136</v>
      </c>
      <c r="B80" s="1" t="s">
        <v>137</v>
      </c>
      <c r="C80" s="25" t="s">
        <v>91</v>
      </c>
      <c r="D80" s="4">
        <f>'Elec-Ground Floor'!K27</f>
        <v>20</v>
      </c>
      <c r="E80" s="9"/>
      <c r="F80" s="54"/>
      <c r="G80" s="1"/>
    </row>
    <row r="81" spans="1:7" x14ac:dyDescent="0.35">
      <c r="A81" s="25" t="s">
        <v>138</v>
      </c>
      <c r="B81" s="1" t="s">
        <v>139</v>
      </c>
      <c r="C81" s="25" t="s">
        <v>91</v>
      </c>
      <c r="D81" s="4">
        <v>0</v>
      </c>
      <c r="E81" s="9"/>
      <c r="F81" s="54"/>
      <c r="G81" s="1"/>
    </row>
    <row r="82" spans="1:7" x14ac:dyDescent="0.35">
      <c r="A82" s="25" t="s">
        <v>140</v>
      </c>
      <c r="B82" s="1" t="s">
        <v>141</v>
      </c>
      <c r="C82" s="25" t="s">
        <v>46</v>
      </c>
      <c r="D82" s="4">
        <f>'Elec-First Floor'!L17+'Elec-Ground Floor'!K17</f>
        <v>119</v>
      </c>
      <c r="E82" s="9"/>
      <c r="F82" s="54"/>
      <c r="G82" s="1"/>
    </row>
    <row r="83" spans="1:7" x14ac:dyDescent="0.35">
      <c r="A83" s="25" t="s">
        <v>142</v>
      </c>
      <c r="B83" s="1" t="s">
        <v>143</v>
      </c>
      <c r="C83" s="25" t="s">
        <v>91</v>
      </c>
      <c r="D83" s="4">
        <f>'Elec-Ground Floor'!K18</f>
        <v>4</v>
      </c>
      <c r="E83" s="9"/>
      <c r="F83" s="54"/>
      <c r="G83" s="1"/>
    </row>
    <row r="84" spans="1:7" x14ac:dyDescent="0.35">
      <c r="A84" s="25" t="s">
        <v>144</v>
      </c>
      <c r="B84" s="1" t="s">
        <v>145</v>
      </c>
      <c r="C84" s="25" t="s">
        <v>91</v>
      </c>
      <c r="D84" s="4">
        <f>'Elec-First Floor'!L19+'Elec-Ground Floor'!K19</f>
        <v>12</v>
      </c>
      <c r="E84" s="9"/>
      <c r="F84" s="54"/>
      <c r="G84" s="1"/>
    </row>
    <row r="85" spans="1:7" x14ac:dyDescent="0.35">
      <c r="A85" s="25" t="s">
        <v>146</v>
      </c>
      <c r="B85" s="1" t="s">
        <v>147</v>
      </c>
      <c r="C85" s="25" t="s">
        <v>91</v>
      </c>
      <c r="D85" s="4">
        <f>'Elec-Ground Floor'!K20</f>
        <v>8</v>
      </c>
      <c r="E85" s="9"/>
      <c r="F85" s="54"/>
      <c r="G85" s="1"/>
    </row>
    <row r="86" spans="1:7" x14ac:dyDescent="0.35">
      <c r="A86" s="25" t="s">
        <v>148</v>
      </c>
      <c r="B86" s="1" t="s">
        <v>149</v>
      </c>
      <c r="C86" s="25" t="s">
        <v>91</v>
      </c>
      <c r="D86" s="13">
        <f>'Elec-Ground Floor'!K15+'Elec-First Floor'!L15</f>
        <v>58</v>
      </c>
      <c r="E86" s="9"/>
      <c r="F86" s="54"/>
      <c r="G86" s="1"/>
    </row>
    <row r="87" spans="1:7" x14ac:dyDescent="0.35">
      <c r="A87" s="25" t="s">
        <v>150</v>
      </c>
      <c r="B87" s="1" t="s">
        <v>151</v>
      </c>
      <c r="C87" s="25" t="s">
        <v>91</v>
      </c>
      <c r="D87" s="4">
        <f>'Elec-Ground Floor'!K3+'Elec-First Floor'!L4</f>
        <v>15</v>
      </c>
      <c r="E87" s="9"/>
      <c r="F87" s="54"/>
      <c r="G87" s="1"/>
    </row>
    <row r="88" spans="1:7" ht="40" x14ac:dyDescent="0.35">
      <c r="A88" s="14" t="s">
        <v>152</v>
      </c>
      <c r="B88" s="1" t="s">
        <v>153</v>
      </c>
      <c r="C88" s="25" t="s">
        <v>91</v>
      </c>
      <c r="D88" s="4">
        <f>'Elec-First Floor'!L20</f>
        <v>3</v>
      </c>
      <c r="E88" s="9"/>
      <c r="F88" s="54"/>
      <c r="G88" s="1"/>
    </row>
    <row r="89" spans="1:7" ht="40" x14ac:dyDescent="0.35">
      <c r="A89" s="25" t="s">
        <v>154</v>
      </c>
      <c r="B89" s="1" t="s">
        <v>155</v>
      </c>
      <c r="C89" s="25" t="s">
        <v>91</v>
      </c>
      <c r="D89" s="4">
        <f>'Elec-First Floor'!L21</f>
        <v>4</v>
      </c>
      <c r="E89" s="9"/>
      <c r="F89" s="54"/>
      <c r="G89" s="1"/>
    </row>
    <row r="90" spans="1:7" ht="100" x14ac:dyDescent="0.35">
      <c r="A90" s="25" t="s">
        <v>156</v>
      </c>
      <c r="B90" s="1" t="s">
        <v>157</v>
      </c>
      <c r="C90" s="25" t="s">
        <v>46</v>
      </c>
      <c r="D90" s="13">
        <f>'Elec-First Floor'!L22</f>
        <v>70</v>
      </c>
      <c r="E90" s="9"/>
      <c r="F90" s="54"/>
      <c r="G90" s="1"/>
    </row>
    <row r="91" spans="1:7" ht="100" x14ac:dyDescent="0.35">
      <c r="A91" s="25" t="s">
        <v>158</v>
      </c>
      <c r="B91" s="1" t="s">
        <v>159</v>
      </c>
      <c r="C91" s="25" t="s">
        <v>46</v>
      </c>
      <c r="D91" s="13">
        <f>'Elec-First Floor'!L23</f>
        <v>70</v>
      </c>
      <c r="E91" s="9"/>
      <c r="F91" s="54"/>
      <c r="G91" s="1"/>
    </row>
    <row r="92" spans="1:7" x14ac:dyDescent="0.85">
      <c r="E92" s="57"/>
      <c r="F92" s="55"/>
    </row>
    <row r="93" spans="1:7" x14ac:dyDescent="0.85">
      <c r="F93" s="56"/>
    </row>
  </sheetData>
  <mergeCells count="2">
    <mergeCell ref="A1:G1"/>
    <mergeCell ref="A2:G2"/>
  </mergeCells>
  <printOptions horizontalCentered="1"/>
  <pageMargins left="0.25" right="0.25"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8127-6713-4B5C-9643-4A73172E30A3}">
  <sheetPr>
    <tabColor theme="7" tint="-0.249977111117893"/>
  </sheetPr>
  <dimension ref="A1:S30"/>
  <sheetViews>
    <sheetView view="pageBreakPreview" topLeftCell="B22" zoomScale="85" zoomScaleNormal="100" zoomScaleSheetLayoutView="85" workbookViewId="0">
      <selection activeCell="K6" sqref="K6:L6"/>
    </sheetView>
  </sheetViews>
  <sheetFormatPr defaultColWidth="8.7265625" defaultRowHeight="17" x14ac:dyDescent="0.7"/>
  <cols>
    <col min="1" max="1" width="5.1796875" style="62" bestFit="1" customWidth="1"/>
    <col min="2" max="2" width="51.7265625" style="74" customWidth="1"/>
    <col min="3" max="4" width="8.7265625" style="74"/>
    <col min="5" max="5" width="9.26953125" style="74" customWidth="1"/>
    <col min="6" max="6" width="7" style="74" bestFit="1" customWidth="1"/>
    <col min="7" max="7" width="8" style="74" bestFit="1" customWidth="1"/>
    <col min="8" max="8" width="9.54296875" style="74" customWidth="1"/>
    <col min="9" max="9" width="8.7265625" style="74"/>
    <col min="10" max="10" width="8.7265625" style="74" bestFit="1" customWidth="1"/>
    <col min="11" max="11" width="8.7265625" style="74"/>
    <col min="12" max="12" width="16.7265625" style="74" bestFit="1" customWidth="1"/>
    <col min="13" max="13" width="16.7265625" style="74" customWidth="1"/>
    <col min="14" max="16384" width="8.7265625" style="74"/>
  </cols>
  <sheetData>
    <row r="1" spans="1:19" ht="18" customHeight="1" x14ac:dyDescent="0.7">
      <c r="A1" s="308" t="s">
        <v>338</v>
      </c>
      <c r="B1" s="309"/>
      <c r="C1" s="309"/>
      <c r="D1" s="309"/>
      <c r="E1" s="309"/>
      <c r="F1" s="309"/>
      <c r="G1" s="309"/>
      <c r="H1" s="309"/>
      <c r="I1" s="309"/>
      <c r="J1" s="310"/>
    </row>
    <row r="2" spans="1:19" s="60" customFormat="1" x14ac:dyDescent="0.35">
      <c r="A2" s="298" t="s">
        <v>2</v>
      </c>
      <c r="B2" s="299" t="s">
        <v>160</v>
      </c>
      <c r="C2" s="299" t="s">
        <v>161</v>
      </c>
      <c r="D2" s="299" t="s">
        <v>162</v>
      </c>
      <c r="E2" s="299" t="s">
        <v>25</v>
      </c>
      <c r="F2" s="299" t="s">
        <v>163</v>
      </c>
      <c r="G2" s="299"/>
      <c r="H2" s="299"/>
      <c r="I2" s="293" t="s">
        <v>5</v>
      </c>
      <c r="J2" s="294" t="s">
        <v>8</v>
      </c>
      <c r="K2" s="365" t="s">
        <v>339</v>
      </c>
      <c r="L2" s="366"/>
      <c r="M2" s="60" t="s">
        <v>25</v>
      </c>
      <c r="N2" s="60" t="s">
        <v>168</v>
      </c>
      <c r="O2" s="60" t="s">
        <v>340</v>
      </c>
      <c r="P2" s="60" t="s">
        <v>170</v>
      </c>
      <c r="Q2" s="60" t="s">
        <v>341</v>
      </c>
    </row>
    <row r="3" spans="1:19" s="60" customFormat="1" x14ac:dyDescent="0.35">
      <c r="A3" s="298"/>
      <c r="B3" s="299"/>
      <c r="C3" s="299"/>
      <c r="D3" s="299"/>
      <c r="E3" s="299"/>
      <c r="F3" s="271" t="s">
        <v>165</v>
      </c>
      <c r="G3" s="271" t="s">
        <v>166</v>
      </c>
      <c r="H3" s="271" t="s">
        <v>167</v>
      </c>
      <c r="I3" s="293"/>
      <c r="J3" s="294"/>
      <c r="K3" s="363" t="s">
        <v>342</v>
      </c>
      <c r="L3" s="364"/>
      <c r="M3" s="115">
        <v>1</v>
      </c>
      <c r="N3" s="115">
        <v>3.2250000000000001</v>
      </c>
      <c r="O3" s="115">
        <v>1.19</v>
      </c>
      <c r="P3" s="116"/>
      <c r="Q3" s="116">
        <f>N3*O3</f>
        <v>3.8377499999999998</v>
      </c>
    </row>
    <row r="4" spans="1:19" s="60" customFormat="1" ht="45" customHeight="1" x14ac:dyDescent="0.35">
      <c r="A4" s="298">
        <v>1</v>
      </c>
      <c r="B4" s="368" t="s">
        <v>343</v>
      </c>
      <c r="C4" s="299"/>
      <c r="D4" s="299"/>
      <c r="E4" s="299"/>
      <c r="F4" s="299"/>
      <c r="G4" s="299"/>
      <c r="H4" s="299"/>
      <c r="I4" s="299"/>
      <c r="J4" s="294"/>
      <c r="K4" s="363" t="s">
        <v>344</v>
      </c>
      <c r="L4" s="364"/>
      <c r="M4" s="115">
        <v>28</v>
      </c>
      <c r="N4" s="115">
        <v>3.2250000000000001</v>
      </c>
      <c r="O4" s="115">
        <v>0.8</v>
      </c>
      <c r="P4" s="115"/>
      <c r="Q4" s="115">
        <f>M4*N4*O4</f>
        <v>72.239999999999995</v>
      </c>
    </row>
    <row r="5" spans="1:19" s="62" customFormat="1" ht="36.75" customHeight="1" x14ac:dyDescent="0.35">
      <c r="A5" s="298"/>
      <c r="B5" s="369"/>
      <c r="C5" s="299"/>
      <c r="D5" s="299"/>
      <c r="E5" s="299"/>
      <c r="F5" s="299"/>
      <c r="G5" s="299"/>
      <c r="H5" s="299"/>
      <c r="I5" s="299"/>
      <c r="J5" s="294"/>
      <c r="K5" s="363" t="s">
        <v>345</v>
      </c>
      <c r="L5" s="364"/>
      <c r="M5" s="115">
        <v>14</v>
      </c>
      <c r="N5" s="115">
        <v>3.2250000000000001</v>
      </c>
      <c r="O5" s="115">
        <v>1.19</v>
      </c>
      <c r="P5" s="115"/>
      <c r="Q5" s="115">
        <f>M5*N5*O5</f>
        <v>53.728499999999997</v>
      </c>
    </row>
    <row r="6" spans="1:19" s="62" customFormat="1" ht="36.75" customHeight="1" x14ac:dyDescent="0.35">
      <c r="A6" s="286" t="s">
        <v>10</v>
      </c>
      <c r="B6" s="277" t="s">
        <v>346</v>
      </c>
      <c r="C6" s="59" t="s">
        <v>13</v>
      </c>
      <c r="D6" s="59" t="s">
        <v>173</v>
      </c>
      <c r="E6" s="59">
        <v>15</v>
      </c>
      <c r="F6" s="59"/>
      <c r="G6" s="59"/>
      <c r="H6" s="59"/>
      <c r="I6" s="59">
        <f>S9*30%</f>
        <v>55.743449999999996</v>
      </c>
      <c r="J6" s="209"/>
      <c r="K6" s="363" t="s">
        <v>347</v>
      </c>
      <c r="L6" s="364"/>
      <c r="M6" s="115">
        <v>28</v>
      </c>
      <c r="N6" s="115">
        <v>1.0649999999999999</v>
      </c>
      <c r="O6" s="115">
        <v>0.8</v>
      </c>
      <c r="P6" s="115"/>
      <c r="Q6" s="115">
        <f>M6*N6*O6</f>
        <v>23.856000000000002</v>
      </c>
    </row>
    <row r="7" spans="1:19" s="62" customFormat="1" ht="36.75" customHeight="1" x14ac:dyDescent="0.35">
      <c r="A7" s="286" t="s">
        <v>16</v>
      </c>
      <c r="B7" s="277" t="s">
        <v>348</v>
      </c>
      <c r="C7" s="59" t="s">
        <v>13</v>
      </c>
      <c r="D7" s="59" t="s">
        <v>349</v>
      </c>
      <c r="E7" s="59">
        <v>15</v>
      </c>
      <c r="F7" s="59"/>
      <c r="G7" s="59"/>
      <c r="H7" s="59"/>
      <c r="I7" s="59">
        <f>S10*20%</f>
        <v>31.649039999999999</v>
      </c>
      <c r="J7" s="209"/>
      <c r="K7" s="363" t="s">
        <v>350</v>
      </c>
      <c r="L7" s="364"/>
      <c r="M7" s="115">
        <v>28</v>
      </c>
      <c r="N7" s="115">
        <v>1.0649999999999999</v>
      </c>
      <c r="O7" s="115">
        <v>0.4</v>
      </c>
      <c r="P7" s="115"/>
      <c r="Q7" s="115">
        <f>M7*N7*O7</f>
        <v>11.928000000000001</v>
      </c>
    </row>
    <row r="8" spans="1:19" s="62" customFormat="1" ht="31.5" customHeight="1" thickBot="1" x14ac:dyDescent="0.4">
      <c r="A8" s="210"/>
      <c r="B8" s="211"/>
      <c r="C8" s="211"/>
      <c r="D8" s="211"/>
      <c r="E8" s="211"/>
      <c r="F8" s="211"/>
      <c r="G8" s="211"/>
      <c r="H8" s="211"/>
      <c r="I8" s="211"/>
      <c r="J8" s="212"/>
      <c r="K8" s="363" t="s">
        <v>351</v>
      </c>
      <c r="L8" s="364"/>
      <c r="M8" s="115"/>
      <c r="N8" s="115"/>
      <c r="O8" s="115"/>
      <c r="P8" s="115"/>
      <c r="Q8" s="116">
        <f>Q4+Q5+Q6+Q7</f>
        <v>161.7525</v>
      </c>
    </row>
    <row r="9" spans="1:19" s="62" customFormat="1" ht="37.5" customHeight="1" x14ac:dyDescent="0.35">
      <c r="B9" s="97"/>
      <c r="C9" s="97"/>
      <c r="D9" s="97"/>
      <c r="E9" s="97"/>
      <c r="F9" s="97"/>
      <c r="G9" s="97"/>
      <c r="H9" s="97"/>
      <c r="I9" s="97"/>
      <c r="J9" s="97"/>
      <c r="K9" s="364" t="s">
        <v>352</v>
      </c>
      <c r="L9" s="364"/>
      <c r="M9" s="115">
        <v>28</v>
      </c>
      <c r="N9" s="115">
        <v>3.2250000000000001</v>
      </c>
      <c r="O9" s="115">
        <v>1.23</v>
      </c>
      <c r="P9" s="115"/>
      <c r="Q9" s="115">
        <f>M9*N9*O9</f>
        <v>111.06899999999999</v>
      </c>
      <c r="S9" s="62">
        <f>Q8+Q18</f>
        <v>185.8115</v>
      </c>
    </row>
    <row r="10" spans="1:19" s="62" customFormat="1" ht="32.25" customHeight="1" x14ac:dyDescent="0.35">
      <c r="B10" s="97"/>
      <c r="C10" s="97"/>
      <c r="D10" s="97"/>
      <c r="E10" s="97"/>
      <c r="F10" s="97"/>
      <c r="G10" s="97"/>
      <c r="H10" s="97"/>
      <c r="I10" s="97"/>
      <c r="J10" s="97"/>
      <c r="K10" s="364" t="s">
        <v>353</v>
      </c>
      <c r="L10" s="364"/>
      <c r="M10" s="115">
        <v>28</v>
      </c>
      <c r="N10" s="115">
        <v>1.0649999999999999</v>
      </c>
      <c r="O10" s="115">
        <v>1.23</v>
      </c>
      <c r="P10" s="115"/>
      <c r="Q10" s="115">
        <f>M10*N10*O10</f>
        <v>36.678600000000003</v>
      </c>
      <c r="S10" s="62">
        <f>Q11+Q21</f>
        <v>158.24519999999998</v>
      </c>
    </row>
    <row r="11" spans="1:19" s="62" customFormat="1" ht="23.25" customHeight="1" x14ac:dyDescent="0.35">
      <c r="B11" s="97"/>
      <c r="C11" s="97"/>
      <c r="D11" s="97"/>
      <c r="E11" s="97"/>
      <c r="F11" s="97"/>
      <c r="G11" s="97"/>
      <c r="H11" s="97"/>
      <c r="I11" s="97"/>
      <c r="J11" s="97"/>
      <c r="L11" s="116" t="s">
        <v>354</v>
      </c>
      <c r="M11" s="115"/>
      <c r="N11" s="115"/>
      <c r="O11" s="115"/>
      <c r="P11" s="115"/>
      <c r="Q11" s="116">
        <f>Q9+Q10</f>
        <v>147.74759999999998</v>
      </c>
    </row>
    <row r="12" spans="1:19" s="62" customFormat="1" ht="23.25" customHeight="1" x14ac:dyDescent="0.35">
      <c r="B12" s="97"/>
      <c r="C12" s="97"/>
      <c r="D12" s="97"/>
      <c r="E12" s="97"/>
      <c r="F12" s="97"/>
      <c r="G12" s="97"/>
      <c r="H12" s="97"/>
      <c r="I12" s="97"/>
      <c r="J12" s="97"/>
      <c r="L12" s="117" t="s">
        <v>355</v>
      </c>
      <c r="M12" s="60"/>
      <c r="N12" s="60"/>
      <c r="O12" s="60"/>
      <c r="P12" s="60"/>
      <c r="Q12" s="60"/>
    </row>
    <row r="13" spans="1:19" s="62" customFormat="1" ht="23.25" customHeight="1" x14ac:dyDescent="0.35">
      <c r="B13" s="97"/>
      <c r="C13" s="97"/>
      <c r="D13" s="97"/>
      <c r="E13" s="97"/>
      <c r="F13" s="97"/>
      <c r="G13" s="97"/>
      <c r="H13" s="97"/>
      <c r="I13" s="97"/>
      <c r="J13" s="97"/>
      <c r="L13" s="60" t="s">
        <v>339</v>
      </c>
      <c r="M13" s="60" t="s">
        <v>25</v>
      </c>
      <c r="N13" s="60" t="s">
        <v>168</v>
      </c>
      <c r="O13" s="60" t="s">
        <v>340</v>
      </c>
      <c r="P13" s="60" t="s">
        <v>170</v>
      </c>
      <c r="Q13" s="60" t="s">
        <v>341</v>
      </c>
    </row>
    <row r="14" spans="1:19" s="62" customFormat="1" ht="23.25" customHeight="1" x14ac:dyDescent="0.7">
      <c r="B14" s="97"/>
      <c r="C14" s="97"/>
      <c r="D14" s="97"/>
      <c r="E14" s="97"/>
      <c r="F14" s="97"/>
      <c r="G14" s="97"/>
      <c r="H14" s="97"/>
      <c r="I14" s="97"/>
      <c r="J14" s="97"/>
      <c r="L14" s="114" t="s">
        <v>344</v>
      </c>
      <c r="M14" s="118">
        <v>2</v>
      </c>
      <c r="N14" s="118">
        <v>3.24</v>
      </c>
      <c r="O14" s="118">
        <v>0.8</v>
      </c>
      <c r="P14" s="118"/>
      <c r="Q14" s="115">
        <f>M14*N14*O14</f>
        <v>5.1840000000000011</v>
      </c>
    </row>
    <row r="15" spans="1:19" x14ac:dyDescent="0.7">
      <c r="A15" s="367"/>
      <c r="B15" s="367"/>
      <c r="C15" s="367"/>
      <c r="D15" s="367"/>
      <c r="E15" s="367"/>
      <c r="F15" s="367"/>
      <c r="G15" s="367"/>
      <c r="H15" s="367"/>
      <c r="I15" s="119"/>
      <c r="L15" s="118"/>
      <c r="M15" s="118">
        <f>4*0.5</f>
        <v>2</v>
      </c>
      <c r="N15" s="118">
        <v>1.93</v>
      </c>
      <c r="O15" s="118">
        <v>2.59</v>
      </c>
      <c r="P15" s="118"/>
      <c r="Q15" s="115">
        <f>M15*N15*O15</f>
        <v>9.997399999999999</v>
      </c>
      <c r="R15" s="62"/>
      <c r="S15" s="62"/>
    </row>
    <row r="16" spans="1:19" ht="34" x14ac:dyDescent="0.7">
      <c r="L16" s="114" t="s">
        <v>356</v>
      </c>
      <c r="M16" s="118">
        <v>4</v>
      </c>
      <c r="N16" s="118">
        <v>1.1399999999999999</v>
      </c>
      <c r="O16" s="118">
        <v>1.08</v>
      </c>
      <c r="P16" s="118"/>
      <c r="Q16" s="115">
        <f>M16*N16*O16</f>
        <v>4.9248000000000003</v>
      </c>
      <c r="R16" s="62"/>
      <c r="S16" s="62"/>
    </row>
    <row r="17" spans="12:19" ht="34" x14ac:dyDescent="0.7">
      <c r="L17" s="114" t="s">
        <v>345</v>
      </c>
      <c r="M17" s="118">
        <v>1</v>
      </c>
      <c r="N17" s="118">
        <v>3.24</v>
      </c>
      <c r="O17" s="118">
        <v>1.22</v>
      </c>
      <c r="P17" s="118"/>
      <c r="Q17" s="115">
        <f>M17*N17*O17</f>
        <v>3.9528000000000003</v>
      </c>
      <c r="R17" s="62"/>
      <c r="S17" s="60"/>
    </row>
    <row r="18" spans="12:19" ht="34" x14ac:dyDescent="0.7">
      <c r="L18" s="114" t="s">
        <v>351</v>
      </c>
      <c r="M18" s="118"/>
      <c r="N18" s="118"/>
      <c r="O18" s="118"/>
      <c r="P18" s="118"/>
      <c r="Q18" s="116">
        <f>SUM(Q14:Q17)</f>
        <v>24.059000000000001</v>
      </c>
    </row>
    <row r="19" spans="12:19" ht="34" x14ac:dyDescent="0.7">
      <c r="L19" s="114" t="s">
        <v>352</v>
      </c>
      <c r="M19" s="118">
        <v>2</v>
      </c>
      <c r="N19" s="118">
        <v>3.24</v>
      </c>
      <c r="O19" s="118">
        <v>1.24</v>
      </c>
      <c r="P19" s="118"/>
      <c r="Q19" s="115">
        <f>M19*N19*O19</f>
        <v>8.0351999999999997</v>
      </c>
    </row>
    <row r="20" spans="12:19" ht="34" x14ac:dyDescent="0.7">
      <c r="L20" s="114" t="s">
        <v>353</v>
      </c>
      <c r="M20" s="118">
        <v>2</v>
      </c>
      <c r="N20" s="118">
        <v>1.1399999999999999</v>
      </c>
      <c r="O20" s="118">
        <v>1.08</v>
      </c>
      <c r="P20" s="118"/>
      <c r="Q20" s="115">
        <f>M20*N20*O20</f>
        <v>2.4624000000000001</v>
      </c>
    </row>
    <row r="21" spans="12:19" x14ac:dyDescent="0.7">
      <c r="L21" s="116" t="s">
        <v>354</v>
      </c>
      <c r="M21" s="118"/>
      <c r="N21" s="118"/>
      <c r="O21" s="118"/>
      <c r="P21" s="118"/>
      <c r="Q21" s="116">
        <f>SUM(Q19:Q20)</f>
        <v>10.4976</v>
      </c>
    </row>
    <row r="30" spans="12:19" x14ac:dyDescent="0.7">
      <c r="L30" s="120"/>
      <c r="Q30" s="62"/>
    </row>
  </sheetData>
  <mergeCells count="29">
    <mergeCell ref="A15:H15"/>
    <mergeCell ref="I2:I3"/>
    <mergeCell ref="J2:J3"/>
    <mergeCell ref="A2:A3"/>
    <mergeCell ref="B2:B3"/>
    <mergeCell ref="C2:C3"/>
    <mergeCell ref="D2:D3"/>
    <mergeCell ref="E2:E3"/>
    <mergeCell ref="F2:H2"/>
    <mergeCell ref="J4:J5"/>
    <mergeCell ref="G4:G5"/>
    <mergeCell ref="H4:H5"/>
    <mergeCell ref="I4:I5"/>
    <mergeCell ref="B4:B5"/>
    <mergeCell ref="A4:A5"/>
    <mergeCell ref="C4:C5"/>
    <mergeCell ref="D4:D5"/>
    <mergeCell ref="E4:E5"/>
    <mergeCell ref="F4:F5"/>
    <mergeCell ref="A1:J1"/>
    <mergeCell ref="K2:L2"/>
    <mergeCell ref="K3:L3"/>
    <mergeCell ref="K4:L4"/>
    <mergeCell ref="K5:L5"/>
    <mergeCell ref="K6:L6"/>
    <mergeCell ref="K7:L7"/>
    <mergeCell ref="K8:L8"/>
    <mergeCell ref="K9:L9"/>
    <mergeCell ref="K10:L10"/>
  </mergeCells>
  <printOptions horizontalCentered="1"/>
  <pageMargins left="0.31496062992125984" right="0.31496062992125984" top="0.74803149606299213" bottom="0.74803149606299213" header="0.31496062992125984" footer="0.31496062992125984"/>
  <pageSetup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1825E-02B1-4023-BD77-48FDB8C62998}">
  <sheetPr>
    <tabColor theme="7" tint="-0.249977111117893"/>
  </sheetPr>
  <dimension ref="A1:M14"/>
  <sheetViews>
    <sheetView view="pageBreakPreview" zoomScale="85" zoomScaleNormal="98" zoomScaleSheetLayoutView="85" workbookViewId="0">
      <pane xSplit="1" ySplit="3" topLeftCell="B4" activePane="bottomRight" state="frozen"/>
      <selection pane="topRight" activeCell="B4" sqref="B4"/>
      <selection pane="bottomLeft" activeCell="B4" sqref="B4"/>
      <selection pane="bottomRight" activeCell="G9" sqref="G9"/>
    </sheetView>
  </sheetViews>
  <sheetFormatPr defaultColWidth="8.7265625" defaultRowHeight="17" x14ac:dyDescent="0.7"/>
  <cols>
    <col min="1" max="1" width="5.1796875" style="67" bestFit="1" customWidth="1"/>
    <col min="2" max="2" width="48.81640625" style="74" customWidth="1"/>
    <col min="3" max="4" width="9.1796875" style="62" customWidth="1"/>
    <col min="5" max="5" width="6.453125" style="62" customWidth="1"/>
    <col min="6" max="6" width="12.1796875" style="62" customWidth="1"/>
    <col min="7" max="7" width="10.7265625" style="62" customWidth="1"/>
    <col min="8" max="8" width="12.1796875" style="62" customWidth="1"/>
    <col min="9" max="9" width="11.54296875" style="62" customWidth="1"/>
    <col min="10" max="10" width="13.1796875" style="74" customWidth="1"/>
    <col min="11" max="16384" width="8.7265625" style="74"/>
  </cols>
  <sheetData>
    <row r="1" spans="1:13" x14ac:dyDescent="0.7">
      <c r="A1" s="373" t="s">
        <v>357</v>
      </c>
      <c r="B1" s="373"/>
      <c r="C1" s="373"/>
      <c r="D1" s="373"/>
      <c r="E1" s="373"/>
      <c r="F1" s="373"/>
      <c r="G1" s="373"/>
      <c r="H1" s="373"/>
      <c r="I1" s="373"/>
      <c r="J1" s="373"/>
    </row>
    <row r="2" spans="1:13" s="60" customFormat="1" x14ac:dyDescent="0.35">
      <c r="A2" s="374" t="s">
        <v>2</v>
      </c>
      <c r="B2" s="375" t="s">
        <v>160</v>
      </c>
      <c r="C2" s="375" t="s">
        <v>161</v>
      </c>
      <c r="D2" s="375" t="s">
        <v>162</v>
      </c>
      <c r="E2" s="375" t="s">
        <v>25</v>
      </c>
      <c r="F2" s="375" t="s">
        <v>163</v>
      </c>
      <c r="G2" s="375"/>
      <c r="H2" s="375"/>
      <c r="I2" s="374" t="s">
        <v>5</v>
      </c>
      <c r="J2" s="375" t="s">
        <v>8</v>
      </c>
    </row>
    <row r="3" spans="1:13" s="60" customFormat="1" x14ac:dyDescent="0.35">
      <c r="A3" s="374"/>
      <c r="B3" s="375"/>
      <c r="C3" s="375"/>
      <c r="D3" s="375"/>
      <c r="E3" s="375"/>
      <c r="F3" s="280" t="s">
        <v>165</v>
      </c>
      <c r="G3" s="280" t="s">
        <v>166</v>
      </c>
      <c r="H3" s="280" t="s">
        <v>167</v>
      </c>
      <c r="I3" s="374"/>
      <c r="J3" s="375"/>
    </row>
    <row r="4" spans="1:13" x14ac:dyDescent="0.7">
      <c r="A4" s="278">
        <v>1</v>
      </c>
      <c r="B4" s="108" t="s">
        <v>358</v>
      </c>
      <c r="C4" s="90"/>
      <c r="D4" s="90"/>
      <c r="E4" s="90"/>
      <c r="F4" s="90"/>
      <c r="G4" s="90"/>
      <c r="H4" s="90"/>
      <c r="I4" s="90"/>
      <c r="J4" s="89"/>
    </row>
    <row r="5" spans="1:13" ht="34" x14ac:dyDescent="0.7">
      <c r="A5" s="90" t="s">
        <v>177</v>
      </c>
      <c r="B5" s="91" t="s">
        <v>359</v>
      </c>
      <c r="C5" s="90" t="s">
        <v>42</v>
      </c>
      <c r="D5" s="90" t="s">
        <v>181</v>
      </c>
      <c r="E5" s="77">
        <v>1</v>
      </c>
      <c r="F5" s="110">
        <v>6</v>
      </c>
      <c r="G5" s="90"/>
      <c r="H5" s="90">
        <v>0.75</v>
      </c>
      <c r="I5" s="77">
        <f>PRODUCT(E5:H5)</f>
        <v>4.5</v>
      </c>
      <c r="J5" s="89"/>
      <c r="M5" s="74">
        <f>8*1.2</f>
        <v>9.6</v>
      </c>
    </row>
    <row r="6" spans="1:13" ht="34" x14ac:dyDescent="0.7">
      <c r="A6" s="88" t="s">
        <v>183</v>
      </c>
      <c r="B6" s="91" t="s">
        <v>360</v>
      </c>
      <c r="C6" s="90" t="s">
        <v>42</v>
      </c>
      <c r="D6" s="90" t="s">
        <v>181</v>
      </c>
      <c r="E6" s="77">
        <v>1</v>
      </c>
      <c r="F6" s="110">
        <v>7</v>
      </c>
      <c r="G6" s="90"/>
      <c r="H6" s="90">
        <v>0.75</v>
      </c>
      <c r="I6" s="77">
        <f>PRODUCT(E6:H6)</f>
        <v>5.25</v>
      </c>
      <c r="J6" s="89"/>
    </row>
    <row r="7" spans="1:13" x14ac:dyDescent="0.7">
      <c r="A7" s="88"/>
      <c r="B7" s="91"/>
      <c r="C7" s="90"/>
      <c r="D7" s="90"/>
      <c r="E7" s="77"/>
      <c r="F7" s="370" t="s">
        <v>325</v>
      </c>
      <c r="G7" s="371"/>
      <c r="H7" s="372"/>
      <c r="I7" s="113">
        <f>SUM(I5:I6)</f>
        <v>9.75</v>
      </c>
      <c r="J7" s="89"/>
    </row>
    <row r="8" spans="1:13" x14ac:dyDescent="0.7">
      <c r="A8" s="278">
        <v>2</v>
      </c>
      <c r="B8" s="108" t="s">
        <v>361</v>
      </c>
      <c r="C8" s="90"/>
      <c r="D8" s="90"/>
      <c r="E8" s="90"/>
      <c r="F8" s="90"/>
      <c r="G8" s="90"/>
      <c r="H8" s="90"/>
      <c r="I8" s="90"/>
      <c r="J8" s="89"/>
    </row>
    <row r="9" spans="1:13" ht="34" x14ac:dyDescent="0.7">
      <c r="A9" s="88" t="s">
        <v>177</v>
      </c>
      <c r="B9" s="91" t="s">
        <v>362</v>
      </c>
      <c r="C9" s="90" t="s">
        <v>42</v>
      </c>
      <c r="D9" s="90" t="s">
        <v>181</v>
      </c>
      <c r="E9" s="90">
        <v>2</v>
      </c>
      <c r="F9" s="110">
        <v>5.5</v>
      </c>
      <c r="G9" s="90"/>
      <c r="H9" s="90">
        <v>0.65</v>
      </c>
      <c r="I9" s="77">
        <f>PRODUCT(E9:H9)</f>
        <v>7.15</v>
      </c>
      <c r="J9" s="89"/>
    </row>
    <row r="10" spans="1:13" ht="34" x14ac:dyDescent="0.7">
      <c r="A10" s="88" t="s">
        <v>183</v>
      </c>
      <c r="B10" s="91" t="s">
        <v>362</v>
      </c>
      <c r="C10" s="90" t="s">
        <v>42</v>
      </c>
      <c r="D10" s="90" t="s">
        <v>181</v>
      </c>
      <c r="E10" s="90">
        <v>2</v>
      </c>
      <c r="F10" s="110">
        <v>4.5</v>
      </c>
      <c r="G10" s="90"/>
      <c r="H10" s="90">
        <v>0.65</v>
      </c>
      <c r="I10" s="77">
        <f>PRODUCT(E10:H10)</f>
        <v>5.8500000000000005</v>
      </c>
      <c r="J10" s="89"/>
    </row>
    <row r="11" spans="1:13" x14ac:dyDescent="0.7">
      <c r="A11" s="101"/>
      <c r="B11" s="91"/>
      <c r="C11" s="90"/>
      <c r="D11" s="90"/>
      <c r="E11" s="90"/>
      <c r="F11" s="90"/>
      <c r="G11" s="370" t="s">
        <v>264</v>
      </c>
      <c r="H11" s="372"/>
      <c r="I11" s="113">
        <f>SUM(I9:I10)</f>
        <v>13</v>
      </c>
      <c r="J11" s="89"/>
    </row>
    <row r="12" spans="1:13" x14ac:dyDescent="0.7">
      <c r="A12" s="278">
        <v>3</v>
      </c>
      <c r="B12" s="108" t="s">
        <v>363</v>
      </c>
      <c r="C12" s="100"/>
      <c r="D12" s="100"/>
      <c r="E12" s="100"/>
      <c r="F12" s="100"/>
      <c r="G12" s="100"/>
      <c r="H12" s="100"/>
      <c r="I12" s="100"/>
      <c r="J12" s="109"/>
    </row>
    <row r="13" spans="1:13" ht="34" x14ac:dyDescent="0.7">
      <c r="A13" s="90" t="s">
        <v>177</v>
      </c>
      <c r="B13" s="91" t="s">
        <v>364</v>
      </c>
      <c r="C13" s="90" t="s">
        <v>42</v>
      </c>
      <c r="D13" s="90" t="s">
        <v>181</v>
      </c>
      <c r="E13" s="90">
        <v>3</v>
      </c>
      <c r="F13" s="90"/>
      <c r="G13" s="90">
        <v>1.5</v>
      </c>
      <c r="H13" s="90">
        <v>2</v>
      </c>
      <c r="I13" s="77">
        <f>PRODUCT(E13:H13)</f>
        <v>9</v>
      </c>
      <c r="J13" s="89"/>
    </row>
    <row r="14" spans="1:13" x14ac:dyDescent="0.7">
      <c r="A14" s="88"/>
      <c r="B14" s="89"/>
      <c r="C14" s="90"/>
      <c r="D14" s="90"/>
      <c r="E14" s="90"/>
      <c r="F14" s="90"/>
      <c r="G14" s="370" t="s">
        <v>325</v>
      </c>
      <c r="H14" s="372"/>
      <c r="I14" s="113">
        <f>SUM(I13)</f>
        <v>9</v>
      </c>
      <c r="J14" s="89"/>
    </row>
  </sheetData>
  <mergeCells count="12">
    <mergeCell ref="F7:H7"/>
    <mergeCell ref="G11:H11"/>
    <mergeCell ref="G14:H14"/>
    <mergeCell ref="A1:J1"/>
    <mergeCell ref="A2:A3"/>
    <mergeCell ref="B2:B3"/>
    <mergeCell ref="C2:C3"/>
    <mergeCell ref="D2:D3"/>
    <mergeCell ref="E2:E3"/>
    <mergeCell ref="F2:H2"/>
    <mergeCell ref="I2:I3"/>
    <mergeCell ref="J2:J3"/>
  </mergeCells>
  <pageMargins left="0.7" right="0.7" top="0.75" bottom="0.75" header="0.3" footer="0.3"/>
  <pageSetup scale="65"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FF5-7FDE-4F02-8419-58D70BD6D592}">
  <sheetPr>
    <tabColor theme="7" tint="-0.249977111117893"/>
  </sheetPr>
  <dimension ref="A1:J9"/>
  <sheetViews>
    <sheetView topLeftCell="A4" zoomScale="72" workbookViewId="0">
      <selection activeCell="B4" sqref="B4"/>
    </sheetView>
  </sheetViews>
  <sheetFormatPr defaultColWidth="8.7265625" defaultRowHeight="17" x14ac:dyDescent="0.7"/>
  <cols>
    <col min="1" max="1" width="5.1796875" style="74" bestFit="1" customWidth="1"/>
    <col min="2" max="2" width="48.81640625" style="74" customWidth="1"/>
    <col min="3" max="6" width="8.7265625" style="74"/>
    <col min="7" max="7" width="11.81640625" style="74" customWidth="1"/>
    <col min="8" max="8" width="11.54296875" style="74" customWidth="1"/>
    <col min="9" max="9" width="13.54296875" style="74" customWidth="1"/>
    <col min="10" max="10" width="13.81640625" style="74" customWidth="1"/>
    <col min="11" max="11" width="11.81640625" style="74" bestFit="1" customWidth="1"/>
    <col min="12" max="16384" width="8.7265625" style="74"/>
  </cols>
  <sheetData>
    <row r="1" spans="1:10" ht="31.5" customHeight="1" x14ac:dyDescent="0.7">
      <c r="A1" s="376" t="s">
        <v>365</v>
      </c>
      <c r="B1" s="376"/>
      <c r="C1" s="376"/>
      <c r="D1" s="376"/>
      <c r="E1" s="376"/>
      <c r="F1" s="376"/>
      <c r="G1" s="376"/>
      <c r="H1" s="376"/>
      <c r="I1" s="376"/>
      <c r="J1" s="376"/>
    </row>
    <row r="2" spans="1:10" x14ac:dyDescent="0.7">
      <c r="A2" s="293" t="s">
        <v>2</v>
      </c>
      <c r="B2" s="299" t="s">
        <v>160</v>
      </c>
      <c r="C2" s="299" t="s">
        <v>161</v>
      </c>
      <c r="D2" s="299" t="s">
        <v>162</v>
      </c>
      <c r="E2" s="299" t="s">
        <v>25</v>
      </c>
      <c r="F2" s="299" t="s">
        <v>163</v>
      </c>
      <c r="G2" s="299"/>
      <c r="H2" s="299"/>
      <c r="I2" s="293" t="s">
        <v>5</v>
      </c>
      <c r="J2" s="299" t="s">
        <v>8</v>
      </c>
    </row>
    <row r="3" spans="1:10" x14ac:dyDescent="0.7">
      <c r="A3" s="293"/>
      <c r="B3" s="299"/>
      <c r="C3" s="299"/>
      <c r="D3" s="299"/>
      <c r="E3" s="299"/>
      <c r="F3" s="271" t="s">
        <v>165</v>
      </c>
      <c r="G3" s="271" t="s">
        <v>166</v>
      </c>
      <c r="H3" s="271" t="s">
        <v>167</v>
      </c>
      <c r="I3" s="293"/>
      <c r="J3" s="299"/>
    </row>
    <row r="4" spans="1:10" ht="120.75" customHeight="1" x14ac:dyDescent="0.7">
      <c r="A4" s="59">
        <v>1</v>
      </c>
      <c r="B4" s="111" t="s">
        <v>366</v>
      </c>
      <c r="C4" s="59" t="s">
        <v>13</v>
      </c>
      <c r="D4" s="59" t="s">
        <v>173</v>
      </c>
      <c r="E4" s="59">
        <v>13</v>
      </c>
      <c r="F4" s="59">
        <v>3.2</v>
      </c>
      <c r="G4" s="59"/>
      <c r="H4" s="59">
        <v>1.42</v>
      </c>
      <c r="I4" s="59">
        <f>PRODUCT(E4:H4)</f>
        <v>59.071999999999996</v>
      </c>
      <c r="J4" s="73"/>
    </row>
    <row r="5" spans="1:10" ht="113.25" customHeight="1" x14ac:dyDescent="0.7">
      <c r="A5" s="59">
        <v>2</v>
      </c>
      <c r="B5" s="111" t="s">
        <v>367</v>
      </c>
      <c r="C5" s="59" t="s">
        <v>13</v>
      </c>
      <c r="D5" s="59" t="s">
        <v>173</v>
      </c>
      <c r="E5" s="59">
        <v>2</v>
      </c>
      <c r="F5" s="59">
        <v>16.2</v>
      </c>
      <c r="G5" s="59"/>
      <c r="H5" s="59">
        <v>1</v>
      </c>
      <c r="I5" s="59">
        <f>PRODUCT(E5:H5)</f>
        <v>32.4</v>
      </c>
      <c r="J5" s="73"/>
    </row>
    <row r="6" spans="1:10" ht="160.9" customHeight="1" x14ac:dyDescent="0.7">
      <c r="A6" s="59">
        <v>3</v>
      </c>
      <c r="B6" s="112" t="s">
        <v>368</v>
      </c>
      <c r="C6" s="59"/>
      <c r="D6" s="59"/>
      <c r="E6" s="59"/>
      <c r="F6" s="59"/>
      <c r="G6" s="59"/>
      <c r="H6" s="59"/>
      <c r="I6" s="59"/>
      <c r="J6" s="73"/>
    </row>
    <row r="7" spans="1:10" ht="62.25" customHeight="1" x14ac:dyDescent="0.7">
      <c r="A7" s="59" t="s">
        <v>177</v>
      </c>
      <c r="B7" s="105" t="s">
        <v>369</v>
      </c>
      <c r="C7" s="59" t="s">
        <v>25</v>
      </c>
      <c r="D7" s="59"/>
      <c r="E7" s="59">
        <v>16</v>
      </c>
      <c r="F7" s="59"/>
      <c r="G7" s="59"/>
      <c r="H7" s="59"/>
      <c r="I7" s="59">
        <f>PRODUCT(E7:H7)</f>
        <v>16</v>
      </c>
      <c r="J7" s="73"/>
    </row>
    <row r="8" spans="1:10" ht="48.75" customHeight="1" x14ac:dyDescent="0.7">
      <c r="A8" s="59" t="s">
        <v>183</v>
      </c>
      <c r="B8" s="111" t="s">
        <v>370</v>
      </c>
      <c r="C8" s="59" t="s">
        <v>25</v>
      </c>
      <c r="D8" s="59"/>
      <c r="E8" s="59">
        <v>16</v>
      </c>
      <c r="F8" s="59"/>
      <c r="G8" s="59"/>
      <c r="H8" s="59"/>
      <c r="I8" s="59">
        <f>PRODUCT(E8:H8)</f>
        <v>16</v>
      </c>
      <c r="J8" s="73"/>
    </row>
    <row r="9" spans="1:10" x14ac:dyDescent="0.7">
      <c r="A9" s="58">
        <v>4</v>
      </c>
      <c r="B9" s="73" t="s">
        <v>371</v>
      </c>
      <c r="C9" s="73" t="s">
        <v>91</v>
      </c>
      <c r="D9" s="73" t="s">
        <v>349</v>
      </c>
      <c r="E9" s="58">
        <v>2</v>
      </c>
      <c r="F9" s="73"/>
      <c r="G9" s="73"/>
      <c r="H9" s="73"/>
      <c r="I9" s="58">
        <f>E9*8</f>
        <v>16</v>
      </c>
      <c r="J9" s="73"/>
    </row>
  </sheetData>
  <mergeCells count="9">
    <mergeCell ref="A1:J1"/>
    <mergeCell ref="I2:I3"/>
    <mergeCell ref="J2:J3"/>
    <mergeCell ref="A2:A3"/>
    <mergeCell ref="B2:B3"/>
    <mergeCell ref="C2:C3"/>
    <mergeCell ref="D2:D3"/>
    <mergeCell ref="E2:E3"/>
    <mergeCell ref="F2:H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50CE-0E34-4C27-8248-B1BBD8269158}">
  <sheetPr>
    <tabColor theme="7" tint="-0.249977111117893"/>
  </sheetPr>
  <dimension ref="A1:U210"/>
  <sheetViews>
    <sheetView view="pageBreakPreview" zoomScale="85" zoomScaleNormal="100" zoomScaleSheetLayoutView="85" workbookViewId="0">
      <pane xSplit="1" ySplit="3" topLeftCell="S190" activePane="bottomRight" state="frozen"/>
      <selection pane="topRight" activeCell="B4" sqref="B4"/>
      <selection pane="bottomLeft" activeCell="B4" sqref="B4"/>
      <selection pane="bottomRight" activeCell="R105" sqref="R105"/>
    </sheetView>
  </sheetViews>
  <sheetFormatPr defaultColWidth="8.7265625" defaultRowHeight="17" x14ac:dyDescent="0.7"/>
  <cols>
    <col min="1" max="1" width="5.1796875" style="67" bestFit="1" customWidth="1"/>
    <col min="2" max="2" width="21.1796875" style="179" customWidth="1"/>
    <col min="3" max="4" width="9.1796875" style="62" customWidth="1"/>
    <col min="5" max="5" width="6.453125" style="62" customWidth="1"/>
    <col min="6" max="6" width="12.1796875" style="62" customWidth="1"/>
    <col min="7" max="7" width="10.7265625" style="62" customWidth="1"/>
    <col min="8" max="8" width="12.1796875" style="62" customWidth="1"/>
    <col min="9" max="9" width="11.54296875" style="62" customWidth="1"/>
    <col min="10" max="10" width="8.7265625" style="74" bestFit="1" customWidth="1"/>
    <col min="11" max="11" width="8.7265625" style="74"/>
    <col min="12" max="12" width="5.1796875" style="67" bestFit="1" customWidth="1"/>
    <col min="13" max="13" width="21.7265625" style="179" customWidth="1"/>
    <col min="14" max="16" width="8.7265625" style="74"/>
    <col min="17" max="20" width="11.54296875" style="74" customWidth="1"/>
    <col min="21" max="21" width="8.7265625" style="74" bestFit="1" customWidth="1"/>
    <col min="22" max="16384" width="8.7265625" style="74"/>
  </cols>
  <sheetData>
    <row r="1" spans="1:21" x14ac:dyDescent="0.7">
      <c r="A1" s="380" t="s">
        <v>372</v>
      </c>
      <c r="B1" s="381"/>
      <c r="C1" s="381"/>
      <c r="D1" s="381"/>
      <c r="E1" s="381"/>
      <c r="F1" s="381"/>
      <c r="G1" s="381"/>
      <c r="H1" s="381"/>
      <c r="I1" s="381"/>
      <c r="J1" s="382"/>
      <c r="L1" s="380" t="s">
        <v>373</v>
      </c>
      <c r="M1" s="381"/>
      <c r="N1" s="381"/>
      <c r="O1" s="381"/>
      <c r="P1" s="381"/>
      <c r="Q1" s="381"/>
      <c r="R1" s="381"/>
      <c r="S1" s="381"/>
      <c r="T1" s="381"/>
      <c r="U1" s="382"/>
    </row>
    <row r="2" spans="1:21" s="60" customFormat="1" x14ac:dyDescent="0.35">
      <c r="A2" s="298" t="s">
        <v>2</v>
      </c>
      <c r="B2" s="293" t="s">
        <v>160</v>
      </c>
      <c r="C2" s="299" t="s">
        <v>161</v>
      </c>
      <c r="D2" s="299" t="s">
        <v>162</v>
      </c>
      <c r="E2" s="299" t="s">
        <v>25</v>
      </c>
      <c r="F2" s="299" t="s">
        <v>163</v>
      </c>
      <c r="G2" s="299"/>
      <c r="H2" s="299"/>
      <c r="I2" s="293" t="s">
        <v>5</v>
      </c>
      <c r="J2" s="294" t="s">
        <v>8</v>
      </c>
      <c r="L2" s="298" t="s">
        <v>2</v>
      </c>
      <c r="M2" s="293" t="s">
        <v>160</v>
      </c>
      <c r="N2" s="299" t="s">
        <v>161</v>
      </c>
      <c r="O2" s="299" t="s">
        <v>162</v>
      </c>
      <c r="P2" s="299" t="s">
        <v>25</v>
      </c>
      <c r="Q2" s="299" t="s">
        <v>163</v>
      </c>
      <c r="R2" s="299"/>
      <c r="S2" s="299"/>
      <c r="T2" s="293" t="s">
        <v>5</v>
      </c>
      <c r="U2" s="294" t="s">
        <v>8</v>
      </c>
    </row>
    <row r="3" spans="1:21" s="60" customFormat="1" x14ac:dyDescent="0.35">
      <c r="A3" s="298"/>
      <c r="B3" s="293"/>
      <c r="C3" s="299"/>
      <c r="D3" s="299"/>
      <c r="E3" s="299"/>
      <c r="F3" s="271" t="s">
        <v>165</v>
      </c>
      <c r="G3" s="271" t="s">
        <v>166</v>
      </c>
      <c r="H3" s="271" t="s">
        <v>167</v>
      </c>
      <c r="I3" s="293"/>
      <c r="J3" s="294"/>
      <c r="L3" s="298"/>
      <c r="M3" s="293"/>
      <c r="N3" s="299"/>
      <c r="O3" s="299"/>
      <c r="P3" s="299"/>
      <c r="Q3" s="271" t="s">
        <v>165</v>
      </c>
      <c r="R3" s="271" t="s">
        <v>166</v>
      </c>
      <c r="S3" s="271" t="s">
        <v>167</v>
      </c>
      <c r="T3" s="293"/>
      <c r="U3" s="294"/>
    </row>
    <row r="4" spans="1:21" s="60" customFormat="1" x14ac:dyDescent="0.7">
      <c r="A4" s="153" t="s">
        <v>210</v>
      </c>
      <c r="B4" s="154" t="s">
        <v>293</v>
      </c>
      <c r="C4" s="280"/>
      <c r="D4" s="280"/>
      <c r="E4" s="280"/>
      <c r="F4" s="280"/>
      <c r="G4" s="280"/>
      <c r="H4" s="280"/>
      <c r="I4" s="279"/>
      <c r="J4" s="155"/>
      <c r="L4" s="270" t="s">
        <v>210</v>
      </c>
      <c r="M4" s="220" t="s">
        <v>374</v>
      </c>
      <c r="N4" s="271"/>
      <c r="O4" s="271"/>
      <c r="P4" s="271"/>
      <c r="Q4" s="271"/>
      <c r="R4" s="271"/>
      <c r="S4" s="271"/>
      <c r="T4" s="267"/>
      <c r="U4" s="269"/>
    </row>
    <row r="5" spans="1:21" x14ac:dyDescent="0.7">
      <c r="A5" s="165">
        <v>1</v>
      </c>
      <c r="B5" s="217" t="s">
        <v>327</v>
      </c>
      <c r="C5" s="90"/>
      <c r="D5" s="90"/>
      <c r="E5" s="90"/>
      <c r="F5" s="90"/>
      <c r="G5" s="90"/>
      <c r="H5" s="90"/>
      <c r="I5" s="90"/>
      <c r="J5" s="213"/>
      <c r="L5" s="191"/>
      <c r="M5" s="91" t="s">
        <v>375</v>
      </c>
      <c r="N5" s="90" t="s">
        <v>13</v>
      </c>
      <c r="O5" s="90" t="s">
        <v>181</v>
      </c>
      <c r="P5" s="90">
        <v>2</v>
      </c>
      <c r="Q5" s="90">
        <v>12.1</v>
      </c>
      <c r="R5" s="90"/>
      <c r="S5" s="90">
        <v>7.1</v>
      </c>
      <c r="T5" s="90">
        <f t="shared" ref="T5:T34" si="0">PRODUCT(P5:S5)</f>
        <v>171.82</v>
      </c>
      <c r="U5" s="204"/>
    </row>
    <row r="6" spans="1:21" x14ac:dyDescent="0.7">
      <c r="A6" s="165"/>
      <c r="B6" s="105" t="s">
        <v>376</v>
      </c>
      <c r="C6" s="90" t="s">
        <v>13</v>
      </c>
      <c r="D6" s="90" t="s">
        <v>181</v>
      </c>
      <c r="E6" s="90">
        <v>2</v>
      </c>
      <c r="F6" s="90">
        <v>5.65</v>
      </c>
      <c r="G6" s="90"/>
      <c r="H6" s="90">
        <v>2.71</v>
      </c>
      <c r="I6" s="90">
        <f t="shared" ref="I6:I16" si="1">PRODUCT(E6:H6)</f>
        <v>30.623000000000001</v>
      </c>
      <c r="J6" s="213"/>
      <c r="L6" s="191"/>
      <c r="M6" s="91" t="s">
        <v>376</v>
      </c>
      <c r="N6" s="90" t="s">
        <v>13</v>
      </c>
      <c r="O6" s="90" t="s">
        <v>181</v>
      </c>
      <c r="P6" s="88">
        <v>2</v>
      </c>
      <c r="Q6" s="88">
        <v>15.25</v>
      </c>
      <c r="R6" s="88"/>
      <c r="S6" s="90">
        <v>7.1</v>
      </c>
      <c r="T6" s="90">
        <f t="shared" si="0"/>
        <v>216.54999999999998</v>
      </c>
      <c r="U6" s="204"/>
    </row>
    <row r="7" spans="1:21" x14ac:dyDescent="0.7">
      <c r="A7" s="165"/>
      <c r="B7" s="105" t="s">
        <v>375</v>
      </c>
      <c r="C7" s="90" t="s">
        <v>13</v>
      </c>
      <c r="D7" s="90" t="s">
        <v>181</v>
      </c>
      <c r="E7" s="90">
        <v>2</v>
      </c>
      <c r="F7" s="90">
        <v>3.75</v>
      </c>
      <c r="G7" s="90"/>
      <c r="H7" s="90">
        <v>2.71</v>
      </c>
      <c r="I7" s="90">
        <f t="shared" si="1"/>
        <v>20.324999999999999</v>
      </c>
      <c r="J7" s="213"/>
      <c r="L7" s="191"/>
      <c r="M7" s="65" t="s">
        <v>377</v>
      </c>
      <c r="N7" s="90" t="s">
        <v>13</v>
      </c>
      <c r="O7" s="90" t="s">
        <v>181</v>
      </c>
      <c r="P7" s="88">
        <v>2</v>
      </c>
      <c r="Q7" s="88">
        <f>(12.2*2+14.7*2+1.2)</f>
        <v>55</v>
      </c>
      <c r="R7" s="88"/>
      <c r="S7" s="90">
        <v>1.2</v>
      </c>
      <c r="T7" s="90">
        <f t="shared" si="0"/>
        <v>132</v>
      </c>
      <c r="U7" s="204"/>
    </row>
    <row r="8" spans="1:21" ht="34" x14ac:dyDescent="0.7">
      <c r="A8" s="165"/>
      <c r="B8" s="105" t="s">
        <v>378</v>
      </c>
      <c r="C8" s="90" t="s">
        <v>13</v>
      </c>
      <c r="D8" s="90" t="s">
        <v>181</v>
      </c>
      <c r="E8" s="90">
        <v>1</v>
      </c>
      <c r="F8" s="90">
        <v>3.7</v>
      </c>
      <c r="G8" s="90"/>
      <c r="H8" s="90">
        <v>5.9</v>
      </c>
      <c r="I8" s="90">
        <f t="shared" si="1"/>
        <v>21.830000000000002</v>
      </c>
      <c r="J8" s="213"/>
      <c r="L8" s="191"/>
      <c r="M8" s="65" t="s">
        <v>379</v>
      </c>
      <c r="N8" s="90" t="s">
        <v>13</v>
      </c>
      <c r="O8" s="90" t="s">
        <v>181</v>
      </c>
      <c r="P8" s="88">
        <v>-1</v>
      </c>
      <c r="Q8" s="88">
        <v>8.3000000000000007</v>
      </c>
      <c r="R8" s="88"/>
      <c r="S8" s="90">
        <v>2.5</v>
      </c>
      <c r="T8" s="90">
        <f t="shared" si="0"/>
        <v>-20.75</v>
      </c>
      <c r="U8" s="204"/>
    </row>
    <row r="9" spans="1:21" x14ac:dyDescent="0.7">
      <c r="A9" s="165"/>
      <c r="B9" s="105" t="s">
        <v>380</v>
      </c>
      <c r="C9" s="90" t="s">
        <v>13</v>
      </c>
      <c r="D9" s="90" t="s">
        <v>181</v>
      </c>
      <c r="E9" s="90">
        <v>-1</v>
      </c>
      <c r="F9" s="90">
        <v>1.36</v>
      </c>
      <c r="G9" s="90"/>
      <c r="H9" s="90">
        <v>2.5</v>
      </c>
      <c r="I9" s="90">
        <f t="shared" si="1"/>
        <v>-3.4000000000000004</v>
      </c>
      <c r="J9" s="213"/>
      <c r="L9" s="191"/>
      <c r="M9" s="65" t="s">
        <v>381</v>
      </c>
      <c r="N9" s="90" t="s">
        <v>13</v>
      </c>
      <c r="O9" s="90" t="s">
        <v>181</v>
      </c>
      <c r="P9" s="88">
        <v>1</v>
      </c>
      <c r="Q9" s="88">
        <v>8.3000000000000007</v>
      </c>
      <c r="R9" s="88"/>
      <c r="S9" s="90">
        <v>1.2</v>
      </c>
      <c r="T9" s="90">
        <f t="shared" si="0"/>
        <v>9.9600000000000009</v>
      </c>
      <c r="U9" s="204"/>
    </row>
    <row r="10" spans="1:21" x14ac:dyDescent="0.7">
      <c r="A10" s="165"/>
      <c r="B10" s="105" t="s">
        <v>382</v>
      </c>
      <c r="C10" s="90" t="s">
        <v>13</v>
      </c>
      <c r="D10" s="90" t="s">
        <v>181</v>
      </c>
      <c r="E10" s="90">
        <v>-1</v>
      </c>
      <c r="F10" s="90">
        <v>1.23</v>
      </c>
      <c r="G10" s="90"/>
      <c r="H10" s="90">
        <v>1.1599999999999999</v>
      </c>
      <c r="I10" s="90">
        <f t="shared" si="1"/>
        <v>-1.4267999999999998</v>
      </c>
      <c r="J10" s="213"/>
      <c r="L10" s="191"/>
      <c r="M10" s="65" t="s">
        <v>383</v>
      </c>
      <c r="N10" s="90" t="s">
        <v>13</v>
      </c>
      <c r="O10" s="90" t="s">
        <v>181</v>
      </c>
      <c r="P10" s="88">
        <v>12</v>
      </c>
      <c r="Q10" s="88">
        <v>2</v>
      </c>
      <c r="R10" s="88"/>
      <c r="S10" s="90">
        <v>1.2</v>
      </c>
      <c r="T10" s="90">
        <f t="shared" si="0"/>
        <v>28.799999999999997</v>
      </c>
      <c r="U10" s="204"/>
    </row>
    <row r="11" spans="1:21" x14ac:dyDescent="0.7">
      <c r="A11" s="165">
        <v>2</v>
      </c>
      <c r="B11" s="217" t="s">
        <v>384</v>
      </c>
      <c r="C11" s="90"/>
      <c r="D11" s="90"/>
      <c r="E11" s="90"/>
      <c r="F11" s="90"/>
      <c r="G11" s="90"/>
      <c r="H11" s="90"/>
      <c r="I11" s="90">
        <f t="shared" si="1"/>
        <v>0</v>
      </c>
      <c r="J11" s="213"/>
      <c r="L11" s="191"/>
      <c r="M11" s="65"/>
      <c r="N11" s="90" t="s">
        <v>13</v>
      </c>
      <c r="O11" s="90" t="s">
        <v>181</v>
      </c>
      <c r="P11" s="88">
        <v>1</v>
      </c>
      <c r="Q11" s="88">
        <v>3.15</v>
      </c>
      <c r="R11" s="88"/>
      <c r="S11" s="90">
        <v>1.35</v>
      </c>
      <c r="T11" s="90">
        <f t="shared" si="0"/>
        <v>4.2525000000000004</v>
      </c>
      <c r="U11" s="204"/>
    </row>
    <row r="12" spans="1:21" x14ac:dyDescent="0.7">
      <c r="A12" s="165"/>
      <c r="B12" s="105" t="s">
        <v>375</v>
      </c>
      <c r="C12" s="90" t="s">
        <v>13</v>
      </c>
      <c r="D12" s="90" t="s">
        <v>181</v>
      </c>
      <c r="E12" s="90">
        <v>4</v>
      </c>
      <c r="F12" s="90">
        <v>3.77</v>
      </c>
      <c r="G12" s="90"/>
      <c r="H12" s="90">
        <v>2.75</v>
      </c>
      <c r="I12" s="90">
        <f t="shared" si="1"/>
        <v>41.47</v>
      </c>
      <c r="J12" s="213"/>
      <c r="L12" s="191"/>
      <c r="M12" s="65"/>
      <c r="N12" s="90" t="s">
        <v>13</v>
      </c>
      <c r="O12" s="90" t="s">
        <v>181</v>
      </c>
      <c r="P12" s="88">
        <v>1</v>
      </c>
      <c r="Q12" s="88">
        <v>5.5</v>
      </c>
      <c r="R12" s="88"/>
      <c r="S12" s="90">
        <v>1.35</v>
      </c>
      <c r="T12" s="90">
        <f t="shared" si="0"/>
        <v>7.4250000000000007</v>
      </c>
      <c r="U12" s="204"/>
    </row>
    <row r="13" spans="1:21" x14ac:dyDescent="0.7">
      <c r="A13" s="165"/>
      <c r="B13" s="105" t="s">
        <v>385</v>
      </c>
      <c r="C13" s="90" t="s">
        <v>13</v>
      </c>
      <c r="D13" s="90" t="s">
        <v>181</v>
      </c>
      <c r="E13" s="90">
        <v>4</v>
      </c>
      <c r="F13" s="90">
        <v>5.75</v>
      </c>
      <c r="G13" s="90"/>
      <c r="H13" s="90">
        <v>2.75</v>
      </c>
      <c r="I13" s="90">
        <f t="shared" si="1"/>
        <v>63.25</v>
      </c>
      <c r="J13" s="213"/>
      <c r="L13" s="191"/>
      <c r="M13" s="65"/>
      <c r="N13" s="90" t="s">
        <v>13</v>
      </c>
      <c r="O13" s="90" t="s">
        <v>181</v>
      </c>
      <c r="P13" s="88">
        <v>2</v>
      </c>
      <c r="Q13" s="88">
        <v>1</v>
      </c>
      <c r="R13" s="88"/>
      <c r="S13" s="90">
        <v>1.2</v>
      </c>
      <c r="T13" s="90">
        <f t="shared" si="0"/>
        <v>2.4</v>
      </c>
      <c r="U13" s="204"/>
    </row>
    <row r="14" spans="1:21" x14ac:dyDescent="0.7">
      <c r="A14" s="165"/>
      <c r="B14" s="105" t="s">
        <v>378</v>
      </c>
      <c r="C14" s="90" t="s">
        <v>13</v>
      </c>
      <c r="D14" s="90" t="s">
        <v>181</v>
      </c>
      <c r="E14" s="90">
        <v>1</v>
      </c>
      <c r="F14" s="90">
        <v>3.77</v>
      </c>
      <c r="G14" s="90"/>
      <c r="H14" s="90">
        <v>5.75</v>
      </c>
      <c r="I14" s="90">
        <f t="shared" si="1"/>
        <v>21.677499999999998</v>
      </c>
      <c r="J14" s="213"/>
      <c r="L14" s="191"/>
      <c r="M14" s="65" t="s">
        <v>386</v>
      </c>
      <c r="N14" s="90" t="s">
        <v>13</v>
      </c>
      <c r="O14" s="90" t="s">
        <v>181</v>
      </c>
      <c r="P14" s="88">
        <v>2</v>
      </c>
      <c r="Q14" s="88">
        <v>1.2</v>
      </c>
      <c r="R14" s="88"/>
      <c r="S14" s="90">
        <v>1.5</v>
      </c>
      <c r="T14" s="90">
        <f t="shared" si="0"/>
        <v>3.5999999999999996</v>
      </c>
      <c r="U14" s="204"/>
    </row>
    <row r="15" spans="1:21" x14ac:dyDescent="0.7">
      <c r="A15" s="165"/>
      <c r="B15" s="105" t="s">
        <v>380</v>
      </c>
      <c r="C15" s="90" t="s">
        <v>13</v>
      </c>
      <c r="D15" s="90" t="s">
        <v>181</v>
      </c>
      <c r="E15" s="90">
        <v>-1</v>
      </c>
      <c r="F15" s="90">
        <v>0.9</v>
      </c>
      <c r="G15" s="90"/>
      <c r="H15" s="90">
        <v>1.91</v>
      </c>
      <c r="I15" s="90">
        <f t="shared" si="1"/>
        <v>-1.7189999999999999</v>
      </c>
      <c r="J15" s="213"/>
      <c r="L15" s="165"/>
      <c r="M15" s="105" t="s">
        <v>387</v>
      </c>
      <c r="N15" s="90" t="s">
        <v>13</v>
      </c>
      <c r="O15" s="90" t="s">
        <v>181</v>
      </c>
      <c r="P15" s="89">
        <v>-1</v>
      </c>
      <c r="Q15" s="89">
        <v>1.3</v>
      </c>
      <c r="R15" s="89"/>
      <c r="S15" s="89">
        <v>1.2050000000000001</v>
      </c>
      <c r="T15" s="90">
        <f t="shared" si="0"/>
        <v>-1.5665000000000002</v>
      </c>
      <c r="U15" s="213"/>
    </row>
    <row r="16" spans="1:21" x14ac:dyDescent="0.7">
      <c r="A16" s="165"/>
      <c r="B16" s="105" t="s">
        <v>380</v>
      </c>
      <c r="C16" s="90" t="s">
        <v>13</v>
      </c>
      <c r="D16" s="90" t="s">
        <v>181</v>
      </c>
      <c r="E16" s="90">
        <v>-2</v>
      </c>
      <c r="F16" s="90">
        <v>0.77</v>
      </c>
      <c r="G16" s="90"/>
      <c r="H16" s="90">
        <v>2.0699999999999998</v>
      </c>
      <c r="I16" s="90">
        <f t="shared" si="1"/>
        <v>-3.1877999999999997</v>
      </c>
      <c r="J16" s="213"/>
      <c r="L16" s="165"/>
      <c r="M16" s="105"/>
      <c r="N16" s="90" t="s">
        <v>13</v>
      </c>
      <c r="O16" s="90" t="s">
        <v>181</v>
      </c>
      <c r="P16" s="89">
        <v>-1</v>
      </c>
      <c r="Q16" s="89">
        <v>1.3</v>
      </c>
      <c r="R16" s="89"/>
      <c r="S16" s="89">
        <v>1.18</v>
      </c>
      <c r="T16" s="90">
        <f t="shared" si="0"/>
        <v>-1.534</v>
      </c>
      <c r="U16" s="213"/>
    </row>
    <row r="17" spans="1:21" x14ac:dyDescent="0.7">
      <c r="A17" s="165">
        <v>3</v>
      </c>
      <c r="B17" s="217" t="s">
        <v>328</v>
      </c>
      <c r="C17" s="90"/>
      <c r="D17" s="90"/>
      <c r="E17" s="90"/>
      <c r="F17" s="90"/>
      <c r="G17" s="90"/>
      <c r="H17" s="90"/>
      <c r="I17" s="90"/>
      <c r="J17" s="213"/>
      <c r="L17" s="165"/>
      <c r="M17" s="105"/>
      <c r="N17" s="90" t="s">
        <v>13</v>
      </c>
      <c r="O17" s="90" t="s">
        <v>181</v>
      </c>
      <c r="P17" s="89">
        <v>-1</v>
      </c>
      <c r="Q17" s="89">
        <v>1.2749999999999999</v>
      </c>
      <c r="R17" s="89"/>
      <c r="S17" s="89">
        <v>1.1950000000000001</v>
      </c>
      <c r="T17" s="90">
        <f t="shared" si="0"/>
        <v>-1.523625</v>
      </c>
      <c r="U17" s="213"/>
    </row>
    <row r="18" spans="1:21" x14ac:dyDescent="0.7">
      <c r="A18" s="165"/>
      <c r="B18" s="105" t="s">
        <v>375</v>
      </c>
      <c r="C18" s="90" t="s">
        <v>13</v>
      </c>
      <c r="D18" s="90" t="s">
        <v>181</v>
      </c>
      <c r="E18" s="90">
        <v>2</v>
      </c>
      <c r="F18" s="90">
        <v>4.12</v>
      </c>
      <c r="G18" s="90"/>
      <c r="H18" s="90">
        <v>2.68</v>
      </c>
      <c r="I18" s="90">
        <f t="shared" ref="I18:I30" si="2">PRODUCT(E18:H18)</f>
        <v>22.083200000000001</v>
      </c>
      <c r="J18" s="213"/>
      <c r="L18" s="165"/>
      <c r="M18" s="105"/>
      <c r="N18" s="90" t="s">
        <v>13</v>
      </c>
      <c r="O18" s="90" t="s">
        <v>181</v>
      </c>
      <c r="P18" s="89">
        <v>-1</v>
      </c>
      <c r="Q18" s="89">
        <v>1.7749999999999999</v>
      </c>
      <c r="R18" s="89"/>
      <c r="S18" s="89">
        <v>1.1599999999999999</v>
      </c>
      <c r="T18" s="90">
        <f t="shared" si="0"/>
        <v>-2.0589999999999997</v>
      </c>
      <c r="U18" s="213"/>
    </row>
    <row r="19" spans="1:21" x14ac:dyDescent="0.7">
      <c r="A19" s="165"/>
      <c r="B19" s="105" t="s">
        <v>385</v>
      </c>
      <c r="C19" s="90" t="s">
        <v>13</v>
      </c>
      <c r="D19" s="90" t="s">
        <v>181</v>
      </c>
      <c r="E19" s="90">
        <v>2</v>
      </c>
      <c r="F19" s="90">
        <v>2.85</v>
      </c>
      <c r="G19" s="90"/>
      <c r="H19" s="90">
        <v>2.68</v>
      </c>
      <c r="I19" s="90">
        <f t="shared" si="2"/>
        <v>15.276000000000002</v>
      </c>
      <c r="J19" s="213"/>
      <c r="L19" s="165"/>
      <c r="M19" s="105"/>
      <c r="N19" s="90" t="s">
        <v>13</v>
      </c>
      <c r="O19" s="90" t="s">
        <v>181</v>
      </c>
      <c r="P19" s="89">
        <v>-1</v>
      </c>
      <c r="Q19" s="89">
        <v>1.27</v>
      </c>
      <c r="R19" s="89"/>
      <c r="S19" s="89">
        <v>1.1950000000000001</v>
      </c>
      <c r="T19" s="90">
        <f t="shared" si="0"/>
        <v>-1.5176500000000002</v>
      </c>
      <c r="U19" s="213"/>
    </row>
    <row r="20" spans="1:21" x14ac:dyDescent="0.7">
      <c r="A20" s="165"/>
      <c r="B20" s="105" t="s">
        <v>378</v>
      </c>
      <c r="C20" s="90" t="s">
        <v>13</v>
      </c>
      <c r="D20" s="90" t="s">
        <v>181</v>
      </c>
      <c r="E20" s="90">
        <v>1</v>
      </c>
      <c r="F20" s="90">
        <v>4.12</v>
      </c>
      <c r="G20" s="90"/>
      <c r="H20" s="90">
        <v>2.85</v>
      </c>
      <c r="I20" s="90">
        <f t="shared" si="2"/>
        <v>11.742000000000001</v>
      </c>
      <c r="J20" s="213"/>
      <c r="L20" s="165"/>
      <c r="M20" s="105"/>
      <c r="N20" s="90" t="s">
        <v>13</v>
      </c>
      <c r="O20" s="90" t="s">
        <v>181</v>
      </c>
      <c r="P20" s="89">
        <v>-1</v>
      </c>
      <c r="Q20" s="89">
        <v>1.78</v>
      </c>
      <c r="R20" s="89"/>
      <c r="S20" s="89">
        <v>1.2</v>
      </c>
      <c r="T20" s="90">
        <f t="shared" si="0"/>
        <v>-2.1360000000000001</v>
      </c>
      <c r="U20" s="213"/>
    </row>
    <row r="21" spans="1:21" x14ac:dyDescent="0.7">
      <c r="A21" s="165"/>
      <c r="B21" s="105" t="s">
        <v>380</v>
      </c>
      <c r="C21" s="90" t="s">
        <v>13</v>
      </c>
      <c r="D21" s="90" t="s">
        <v>181</v>
      </c>
      <c r="E21" s="90">
        <v>-1</v>
      </c>
      <c r="F21" s="90">
        <v>0.995</v>
      </c>
      <c r="G21" s="90"/>
      <c r="H21" s="90">
        <v>2.0499999999999998</v>
      </c>
      <c r="I21" s="90">
        <f t="shared" si="2"/>
        <v>-2.0397499999999997</v>
      </c>
      <c r="J21" s="213"/>
      <c r="L21" s="165"/>
      <c r="M21" s="105"/>
      <c r="N21" s="90" t="s">
        <v>13</v>
      </c>
      <c r="O21" s="90" t="s">
        <v>181</v>
      </c>
      <c r="P21" s="89">
        <v>-1</v>
      </c>
      <c r="Q21" s="89">
        <v>1.4850000000000001</v>
      </c>
      <c r="R21" s="89"/>
      <c r="S21" s="89">
        <v>1.2</v>
      </c>
      <c r="T21" s="90">
        <f t="shared" si="0"/>
        <v>-1.782</v>
      </c>
      <c r="U21" s="213"/>
    </row>
    <row r="22" spans="1:21" x14ac:dyDescent="0.7">
      <c r="A22" s="165"/>
      <c r="B22" s="105" t="s">
        <v>382</v>
      </c>
      <c r="C22" s="90" t="s">
        <v>13</v>
      </c>
      <c r="D22" s="90" t="s">
        <v>181</v>
      </c>
      <c r="E22" s="90">
        <v>-1</v>
      </c>
      <c r="F22" s="90">
        <v>1.25</v>
      </c>
      <c r="G22" s="90"/>
      <c r="H22" s="90">
        <v>1.19</v>
      </c>
      <c r="I22" s="90">
        <f t="shared" si="2"/>
        <v>-1.4874999999999998</v>
      </c>
      <c r="J22" s="213"/>
      <c r="L22" s="165"/>
      <c r="M22" s="105"/>
      <c r="N22" s="90" t="s">
        <v>13</v>
      </c>
      <c r="O22" s="90" t="s">
        <v>181</v>
      </c>
      <c r="P22" s="89">
        <v>-1</v>
      </c>
      <c r="Q22" s="89">
        <v>1.49</v>
      </c>
      <c r="R22" s="89"/>
      <c r="S22" s="89">
        <v>1.175</v>
      </c>
      <c r="T22" s="90">
        <f t="shared" si="0"/>
        <v>-1.75075</v>
      </c>
      <c r="U22" s="213"/>
    </row>
    <row r="23" spans="1:21" x14ac:dyDescent="0.7">
      <c r="A23" s="165">
        <v>4</v>
      </c>
      <c r="B23" s="217" t="s">
        <v>388</v>
      </c>
      <c r="C23" s="90"/>
      <c r="D23" s="90"/>
      <c r="E23" s="90"/>
      <c r="F23" s="90"/>
      <c r="G23" s="90"/>
      <c r="H23" s="90"/>
      <c r="I23" s="90">
        <f t="shared" si="2"/>
        <v>0</v>
      </c>
      <c r="J23" s="213"/>
      <c r="L23" s="165"/>
      <c r="M23" s="105"/>
      <c r="N23" s="90" t="s">
        <v>13</v>
      </c>
      <c r="O23" s="90" t="s">
        <v>181</v>
      </c>
      <c r="P23" s="89">
        <v>-1</v>
      </c>
      <c r="Q23" s="89">
        <v>1.32</v>
      </c>
      <c r="R23" s="89"/>
      <c r="S23" s="89">
        <v>1.7</v>
      </c>
      <c r="T23" s="90">
        <f t="shared" si="0"/>
        <v>-2.2440000000000002</v>
      </c>
      <c r="U23" s="213"/>
    </row>
    <row r="24" spans="1:21" x14ac:dyDescent="0.7">
      <c r="A24" s="165"/>
      <c r="B24" s="105" t="s">
        <v>389</v>
      </c>
      <c r="C24" s="90" t="s">
        <v>13</v>
      </c>
      <c r="D24" s="90" t="s">
        <v>181</v>
      </c>
      <c r="E24" s="90">
        <v>1</v>
      </c>
      <c r="F24" s="90">
        <f>2.95+0.93+4.15+4.25</f>
        <v>12.280000000000001</v>
      </c>
      <c r="G24" s="90"/>
      <c r="H24" s="90">
        <v>2.68</v>
      </c>
      <c r="I24" s="90">
        <f t="shared" si="2"/>
        <v>32.910400000000003</v>
      </c>
      <c r="J24" s="213"/>
      <c r="L24" s="165"/>
      <c r="M24" s="105"/>
      <c r="N24" s="90" t="s">
        <v>13</v>
      </c>
      <c r="O24" s="90" t="s">
        <v>181</v>
      </c>
      <c r="P24" s="89">
        <v>-1</v>
      </c>
      <c r="Q24" s="89">
        <v>1.23</v>
      </c>
      <c r="R24" s="89"/>
      <c r="S24" s="89">
        <v>1.1599999999999999</v>
      </c>
      <c r="T24" s="90">
        <f t="shared" si="0"/>
        <v>-1.4267999999999998</v>
      </c>
      <c r="U24" s="213"/>
    </row>
    <row r="25" spans="1:21" x14ac:dyDescent="0.7">
      <c r="A25" s="165"/>
      <c r="B25" s="105" t="s">
        <v>378</v>
      </c>
      <c r="C25" s="90" t="s">
        <v>13</v>
      </c>
      <c r="D25" s="90" t="s">
        <v>181</v>
      </c>
      <c r="E25" s="90">
        <v>1</v>
      </c>
      <c r="F25" s="90">
        <v>4.25</v>
      </c>
      <c r="G25" s="90"/>
      <c r="H25" s="90">
        <v>2.31</v>
      </c>
      <c r="I25" s="90">
        <f t="shared" si="2"/>
        <v>9.8175000000000008</v>
      </c>
      <c r="J25" s="213"/>
      <c r="L25" s="165"/>
      <c r="M25" s="105"/>
      <c r="N25" s="90" t="s">
        <v>13</v>
      </c>
      <c r="O25" s="90" t="s">
        <v>181</v>
      </c>
      <c r="P25" s="89">
        <v>-1</v>
      </c>
      <c r="Q25" s="89">
        <v>1.25</v>
      </c>
      <c r="R25" s="89"/>
      <c r="S25" s="89">
        <v>1.19</v>
      </c>
      <c r="T25" s="90">
        <f t="shared" si="0"/>
        <v>-1.4874999999999998</v>
      </c>
      <c r="U25" s="213"/>
    </row>
    <row r="26" spans="1:21" x14ac:dyDescent="0.7">
      <c r="A26" s="165"/>
      <c r="B26" s="105" t="s">
        <v>380</v>
      </c>
      <c r="C26" s="90" t="s">
        <v>13</v>
      </c>
      <c r="D26" s="90" t="s">
        <v>181</v>
      </c>
      <c r="E26" s="90">
        <v>-1</v>
      </c>
      <c r="F26" s="90">
        <v>0.995</v>
      </c>
      <c r="G26" s="90"/>
      <c r="H26" s="90">
        <v>2.0499999999999998</v>
      </c>
      <c r="I26" s="90">
        <f t="shared" si="2"/>
        <v>-2.0397499999999997</v>
      </c>
      <c r="J26" s="213"/>
      <c r="L26" s="165"/>
      <c r="M26" s="105"/>
      <c r="N26" s="90" t="s">
        <v>13</v>
      </c>
      <c r="O26" s="90" t="s">
        <v>181</v>
      </c>
      <c r="P26" s="89">
        <v>-2</v>
      </c>
      <c r="Q26" s="89">
        <v>0.6</v>
      </c>
      <c r="R26" s="89"/>
      <c r="S26" s="89">
        <v>1.24</v>
      </c>
      <c r="T26" s="90">
        <f t="shared" si="0"/>
        <v>-1.488</v>
      </c>
      <c r="U26" s="213"/>
    </row>
    <row r="27" spans="1:21" x14ac:dyDescent="0.7">
      <c r="A27" s="165"/>
      <c r="B27" s="105" t="s">
        <v>380</v>
      </c>
      <c r="C27" s="90" t="s">
        <v>13</v>
      </c>
      <c r="D27" s="90" t="s">
        <v>181</v>
      </c>
      <c r="E27" s="90">
        <v>-1</v>
      </c>
      <c r="F27" s="90">
        <v>1.02</v>
      </c>
      <c r="G27" s="90"/>
      <c r="H27" s="90">
        <v>2.08</v>
      </c>
      <c r="I27" s="90">
        <f t="shared" si="2"/>
        <v>-2.1215999999999999</v>
      </c>
      <c r="J27" s="213"/>
      <c r="L27" s="165"/>
      <c r="M27" s="105"/>
      <c r="N27" s="90" t="s">
        <v>13</v>
      </c>
      <c r="O27" s="90" t="s">
        <v>181</v>
      </c>
      <c r="P27" s="89">
        <v>-1</v>
      </c>
      <c r="Q27" s="89">
        <v>1.2450000000000001</v>
      </c>
      <c r="R27" s="89"/>
      <c r="S27" s="89">
        <v>1.2949999999999999</v>
      </c>
      <c r="T27" s="90">
        <f t="shared" si="0"/>
        <v>-1.6122750000000001</v>
      </c>
      <c r="U27" s="213"/>
    </row>
    <row r="28" spans="1:21" x14ac:dyDescent="0.7">
      <c r="A28" s="165"/>
      <c r="B28" s="105" t="s">
        <v>380</v>
      </c>
      <c r="C28" s="90" t="s">
        <v>13</v>
      </c>
      <c r="D28" s="90" t="s">
        <v>181</v>
      </c>
      <c r="E28" s="90">
        <v>-1</v>
      </c>
      <c r="F28" s="90">
        <v>0.7</v>
      </c>
      <c r="G28" s="90"/>
      <c r="H28" s="90">
        <v>2.08</v>
      </c>
      <c r="I28" s="90">
        <f t="shared" si="2"/>
        <v>-1.456</v>
      </c>
      <c r="J28" s="213"/>
      <c r="L28" s="165"/>
      <c r="M28" s="105"/>
      <c r="N28" s="90" t="s">
        <v>13</v>
      </c>
      <c r="O28" s="90" t="s">
        <v>181</v>
      </c>
      <c r="P28" s="89">
        <v>-1</v>
      </c>
      <c r="Q28" s="89">
        <v>1.29</v>
      </c>
      <c r="R28" s="89"/>
      <c r="S28" s="89">
        <v>1.21</v>
      </c>
      <c r="T28" s="90">
        <f t="shared" si="0"/>
        <v>-1.5609</v>
      </c>
      <c r="U28" s="213"/>
    </row>
    <row r="29" spans="1:21" x14ac:dyDescent="0.7">
      <c r="A29" s="165"/>
      <c r="B29" s="105" t="s">
        <v>380</v>
      </c>
      <c r="C29" s="90" t="s">
        <v>13</v>
      </c>
      <c r="D29" s="90" t="s">
        <v>181</v>
      </c>
      <c r="E29" s="90">
        <v>-1</v>
      </c>
      <c r="F29" s="90">
        <v>0.94</v>
      </c>
      <c r="G29" s="90"/>
      <c r="H29" s="90">
        <v>2.08</v>
      </c>
      <c r="I29" s="90">
        <f t="shared" si="2"/>
        <v>-1.9552</v>
      </c>
      <c r="J29" s="213"/>
      <c r="L29" s="165"/>
      <c r="M29" s="105"/>
      <c r="N29" s="90" t="s">
        <v>13</v>
      </c>
      <c r="O29" s="90" t="s">
        <v>181</v>
      </c>
      <c r="P29" s="89">
        <v>-1</v>
      </c>
      <c r="Q29" s="89">
        <v>1.2749999999999999</v>
      </c>
      <c r="R29" s="89"/>
      <c r="S29" s="89">
        <v>1.31</v>
      </c>
      <c r="T29" s="90">
        <f t="shared" si="0"/>
        <v>-1.67025</v>
      </c>
      <c r="U29" s="213"/>
    </row>
    <row r="30" spans="1:21" x14ac:dyDescent="0.7">
      <c r="A30" s="165"/>
      <c r="B30" s="105" t="s">
        <v>380</v>
      </c>
      <c r="C30" s="90" t="s">
        <v>13</v>
      </c>
      <c r="D30" s="90" t="s">
        <v>181</v>
      </c>
      <c r="E30" s="90">
        <v>-1</v>
      </c>
      <c r="F30" s="90">
        <v>0.6</v>
      </c>
      <c r="G30" s="90"/>
      <c r="H30" s="90">
        <v>2.08</v>
      </c>
      <c r="I30" s="90">
        <f t="shared" si="2"/>
        <v>-1.248</v>
      </c>
      <c r="J30" s="213"/>
      <c r="L30" s="165"/>
      <c r="M30" s="105"/>
      <c r="N30" s="90" t="s">
        <v>13</v>
      </c>
      <c r="O30" s="90" t="s">
        <v>181</v>
      </c>
      <c r="P30" s="89">
        <v>-1</v>
      </c>
      <c r="Q30" s="89">
        <v>1.7949999999999999</v>
      </c>
      <c r="R30" s="89"/>
      <c r="S30" s="89">
        <v>1.1950000000000001</v>
      </c>
      <c r="T30" s="90">
        <f t="shared" si="0"/>
        <v>-2.145025</v>
      </c>
      <c r="U30" s="213"/>
    </row>
    <row r="31" spans="1:21" x14ac:dyDescent="0.7">
      <c r="A31" s="165"/>
      <c r="B31" s="105"/>
      <c r="C31" s="90"/>
      <c r="D31" s="90"/>
      <c r="E31" s="90"/>
      <c r="F31" s="90"/>
      <c r="G31" s="90"/>
      <c r="H31" s="90"/>
      <c r="I31" s="90"/>
      <c r="J31" s="213"/>
      <c r="L31" s="165"/>
      <c r="M31" s="105" t="s">
        <v>390</v>
      </c>
      <c r="N31" s="90" t="s">
        <v>13</v>
      </c>
      <c r="O31" s="90" t="s">
        <v>181</v>
      </c>
      <c r="P31" s="89">
        <v>-2</v>
      </c>
      <c r="Q31" s="89">
        <v>0.55000000000000004</v>
      </c>
      <c r="R31" s="89"/>
      <c r="S31" s="89">
        <v>0.57999999999999996</v>
      </c>
      <c r="T31" s="90">
        <f>PRODUCT(P31:S31)</f>
        <v>-0.63800000000000001</v>
      </c>
      <c r="U31" s="213"/>
    </row>
    <row r="32" spans="1:21" x14ac:dyDescent="0.7">
      <c r="A32" s="165">
        <v>5</v>
      </c>
      <c r="B32" s="217" t="s">
        <v>391</v>
      </c>
      <c r="C32" s="90"/>
      <c r="D32" s="90"/>
      <c r="E32" s="90"/>
      <c r="F32" s="90"/>
      <c r="G32" s="90"/>
      <c r="H32" s="90"/>
      <c r="I32" s="90"/>
      <c r="J32" s="213"/>
      <c r="L32" s="165"/>
      <c r="M32" s="105" t="s">
        <v>392</v>
      </c>
      <c r="N32" s="90" t="s">
        <v>13</v>
      </c>
      <c r="O32" s="90" t="s">
        <v>181</v>
      </c>
      <c r="P32" s="89">
        <v>-1</v>
      </c>
      <c r="Q32" s="89">
        <v>0.7</v>
      </c>
      <c r="R32" s="89"/>
      <c r="S32" s="89">
        <v>2.04</v>
      </c>
      <c r="T32" s="90">
        <f t="shared" si="0"/>
        <v>-1.4279999999999999</v>
      </c>
      <c r="U32" s="213"/>
    </row>
    <row r="33" spans="1:21" x14ac:dyDescent="0.7">
      <c r="A33" s="165"/>
      <c r="B33" s="105" t="s">
        <v>393</v>
      </c>
      <c r="C33" s="90" t="s">
        <v>13</v>
      </c>
      <c r="D33" s="90" t="s">
        <v>181</v>
      </c>
      <c r="E33" s="90">
        <v>2</v>
      </c>
      <c r="F33" s="90">
        <v>3.98</v>
      </c>
      <c r="G33" s="90"/>
      <c r="H33" s="90">
        <v>2.7</v>
      </c>
      <c r="I33" s="90">
        <f>PRODUCT(E33:H33)</f>
        <v>21.492000000000001</v>
      </c>
      <c r="J33" s="213"/>
      <c r="L33" s="165"/>
      <c r="M33" s="105"/>
      <c r="N33" s="90" t="s">
        <v>13</v>
      </c>
      <c r="O33" s="90" t="s">
        <v>181</v>
      </c>
      <c r="P33" s="89">
        <v>-1</v>
      </c>
      <c r="Q33" s="89">
        <v>1.45</v>
      </c>
      <c r="R33" s="89"/>
      <c r="S33" s="89">
        <v>2.08</v>
      </c>
      <c r="T33" s="90">
        <f t="shared" si="0"/>
        <v>-3.016</v>
      </c>
      <c r="U33" s="213"/>
    </row>
    <row r="34" spans="1:21" x14ac:dyDescent="0.7">
      <c r="A34" s="165"/>
      <c r="B34" s="105" t="s">
        <v>375</v>
      </c>
      <c r="C34" s="90" t="s">
        <v>13</v>
      </c>
      <c r="D34" s="90" t="s">
        <v>181</v>
      </c>
      <c r="E34" s="90">
        <v>2</v>
      </c>
      <c r="F34" s="90">
        <v>3.2149999999999999</v>
      </c>
      <c r="G34" s="90"/>
      <c r="H34" s="90">
        <v>2.7</v>
      </c>
      <c r="I34" s="90">
        <f>PRODUCT(E34:H34)</f>
        <v>17.361000000000001</v>
      </c>
      <c r="J34" s="213"/>
      <c r="L34" s="165"/>
      <c r="M34" s="105"/>
      <c r="N34" s="90" t="s">
        <v>13</v>
      </c>
      <c r="O34" s="90" t="s">
        <v>181</v>
      </c>
      <c r="P34" s="89">
        <v>-1</v>
      </c>
      <c r="Q34" s="89">
        <v>0.85</v>
      </c>
      <c r="R34" s="89"/>
      <c r="S34" s="89">
        <v>2.04</v>
      </c>
      <c r="T34" s="90">
        <f t="shared" si="0"/>
        <v>-1.734</v>
      </c>
      <c r="U34" s="213"/>
    </row>
    <row r="35" spans="1:21" ht="34" x14ac:dyDescent="0.7">
      <c r="A35" s="165"/>
      <c r="B35" s="105" t="s">
        <v>378</v>
      </c>
      <c r="C35" s="90" t="s">
        <v>13</v>
      </c>
      <c r="D35" s="90" t="s">
        <v>181</v>
      </c>
      <c r="E35" s="90">
        <v>1</v>
      </c>
      <c r="F35" s="90">
        <v>3.98</v>
      </c>
      <c r="G35" s="90"/>
      <c r="H35" s="90">
        <v>3.2149999999999999</v>
      </c>
      <c r="I35" s="90">
        <f>PRODUCT(E35:H35)</f>
        <v>12.7957</v>
      </c>
      <c r="J35" s="213"/>
      <c r="L35" s="165" t="s">
        <v>234</v>
      </c>
      <c r="M35" s="217" t="s">
        <v>394</v>
      </c>
      <c r="N35" s="88"/>
      <c r="O35" s="88"/>
      <c r="P35" s="88"/>
      <c r="Q35" s="88"/>
      <c r="R35" s="88"/>
      <c r="S35" s="88"/>
      <c r="T35" s="89"/>
      <c r="U35" s="213"/>
    </row>
    <row r="36" spans="1:21" x14ac:dyDescent="0.7">
      <c r="A36" s="165"/>
      <c r="B36" s="105" t="s">
        <v>382</v>
      </c>
      <c r="C36" s="90" t="s">
        <v>13</v>
      </c>
      <c r="D36" s="90" t="s">
        <v>181</v>
      </c>
      <c r="E36" s="90">
        <v>-2</v>
      </c>
      <c r="F36" s="90">
        <v>0.6</v>
      </c>
      <c r="G36" s="90"/>
      <c r="H36" s="90">
        <v>1.24</v>
      </c>
      <c r="I36" s="90">
        <f>PRODUCT(E36:H36)</f>
        <v>-1.488</v>
      </c>
      <c r="J36" s="213"/>
      <c r="L36" s="165"/>
      <c r="M36" s="218" t="s">
        <v>375</v>
      </c>
      <c r="N36" s="88" t="s">
        <v>13</v>
      </c>
      <c r="O36" s="90" t="s">
        <v>181</v>
      </c>
      <c r="P36" s="88">
        <v>2</v>
      </c>
      <c r="Q36" s="88">
        <v>2.06</v>
      </c>
      <c r="R36" s="88"/>
      <c r="S36" s="88">
        <v>3.63</v>
      </c>
      <c r="T36" s="90">
        <f t="shared" ref="T36:T41" si="3">PRODUCT(P36:S36)</f>
        <v>14.9556</v>
      </c>
      <c r="U36" s="213"/>
    </row>
    <row r="37" spans="1:21" x14ac:dyDescent="0.7">
      <c r="A37" s="165"/>
      <c r="B37" s="105" t="s">
        <v>380</v>
      </c>
      <c r="C37" s="90" t="s">
        <v>13</v>
      </c>
      <c r="D37" s="90" t="s">
        <v>181</v>
      </c>
      <c r="E37" s="90">
        <v>-1</v>
      </c>
      <c r="F37" s="90">
        <v>1.02</v>
      </c>
      <c r="G37" s="90"/>
      <c r="H37" s="90">
        <v>2.08</v>
      </c>
      <c r="I37" s="90">
        <f>PRODUCT(E37:H37)</f>
        <v>-2.1215999999999999</v>
      </c>
      <c r="J37" s="213"/>
      <c r="L37" s="165"/>
      <c r="M37" s="105" t="s">
        <v>395</v>
      </c>
      <c r="N37" s="88" t="s">
        <v>13</v>
      </c>
      <c r="O37" s="90" t="s">
        <v>181</v>
      </c>
      <c r="P37" s="88">
        <v>2</v>
      </c>
      <c r="Q37" s="88">
        <v>3.04</v>
      </c>
      <c r="R37" s="88"/>
      <c r="S37" s="88">
        <v>3.63</v>
      </c>
      <c r="T37" s="90">
        <f t="shared" si="3"/>
        <v>22.070399999999999</v>
      </c>
      <c r="U37" s="213"/>
    </row>
    <row r="38" spans="1:21" x14ac:dyDescent="0.7">
      <c r="A38" s="165">
        <v>6</v>
      </c>
      <c r="B38" s="217" t="s">
        <v>303</v>
      </c>
      <c r="C38" s="90"/>
      <c r="D38" s="90"/>
      <c r="E38" s="90"/>
      <c r="F38" s="90"/>
      <c r="G38" s="90"/>
      <c r="H38" s="90"/>
      <c r="I38" s="90"/>
      <c r="J38" s="213"/>
      <c r="L38" s="165"/>
      <c r="M38" s="105" t="s">
        <v>381</v>
      </c>
      <c r="N38" s="88" t="s">
        <v>13</v>
      </c>
      <c r="O38" s="90" t="s">
        <v>181</v>
      </c>
      <c r="P38" s="88">
        <v>1</v>
      </c>
      <c r="Q38" s="88">
        <v>2.54</v>
      </c>
      <c r="R38" s="88"/>
      <c r="S38" s="88">
        <v>1.2</v>
      </c>
      <c r="T38" s="90">
        <f t="shared" si="3"/>
        <v>3.048</v>
      </c>
      <c r="U38" s="213"/>
    </row>
    <row r="39" spans="1:21" x14ac:dyDescent="0.7">
      <c r="A39" s="165"/>
      <c r="B39" s="105" t="s">
        <v>393</v>
      </c>
      <c r="C39" s="90" t="s">
        <v>13</v>
      </c>
      <c r="D39" s="90" t="s">
        <v>181</v>
      </c>
      <c r="E39" s="90">
        <v>2</v>
      </c>
      <c r="F39" s="90">
        <v>2.1</v>
      </c>
      <c r="G39" s="90"/>
      <c r="H39" s="90">
        <v>2.69</v>
      </c>
      <c r="I39" s="90">
        <f t="shared" ref="I39:I52" si="4">PRODUCT(E39:H39)</f>
        <v>11.298</v>
      </c>
      <c r="J39" s="213"/>
      <c r="L39" s="165"/>
      <c r="M39" s="105"/>
      <c r="N39" s="89"/>
      <c r="O39" s="89"/>
      <c r="P39" s="88">
        <v>2</v>
      </c>
      <c r="Q39" s="88">
        <v>0.55000000000000004</v>
      </c>
      <c r="R39" s="88"/>
      <c r="S39" s="88">
        <v>0.1</v>
      </c>
      <c r="T39" s="90">
        <f t="shared" si="3"/>
        <v>0.11000000000000001</v>
      </c>
      <c r="U39" s="213"/>
    </row>
    <row r="40" spans="1:21" x14ac:dyDescent="0.7">
      <c r="A40" s="165"/>
      <c r="B40" s="105" t="s">
        <v>375</v>
      </c>
      <c r="C40" s="90" t="s">
        <v>13</v>
      </c>
      <c r="D40" s="90" t="s">
        <v>181</v>
      </c>
      <c r="E40" s="90">
        <v>2</v>
      </c>
      <c r="F40" s="90">
        <v>2.7349999999999999</v>
      </c>
      <c r="G40" s="90"/>
      <c r="H40" s="90">
        <v>2.69</v>
      </c>
      <c r="I40" s="90">
        <f t="shared" si="4"/>
        <v>14.7143</v>
      </c>
      <c r="J40" s="213"/>
      <c r="L40" s="165"/>
      <c r="M40" s="105" t="s">
        <v>382</v>
      </c>
      <c r="N40" s="88" t="s">
        <v>13</v>
      </c>
      <c r="O40" s="90" t="s">
        <v>181</v>
      </c>
      <c r="P40" s="88">
        <v>-1</v>
      </c>
      <c r="Q40" s="88">
        <v>0.87</v>
      </c>
      <c r="R40" s="88"/>
      <c r="S40" s="88">
        <v>1.05</v>
      </c>
      <c r="T40" s="90">
        <f t="shared" si="3"/>
        <v>-0.91349999999999998</v>
      </c>
      <c r="U40" s="213"/>
    </row>
    <row r="41" spans="1:21" x14ac:dyDescent="0.7">
      <c r="A41" s="165"/>
      <c r="B41" s="105" t="s">
        <v>378</v>
      </c>
      <c r="C41" s="90" t="s">
        <v>13</v>
      </c>
      <c r="D41" s="90" t="s">
        <v>181</v>
      </c>
      <c r="E41" s="90">
        <v>1</v>
      </c>
      <c r="F41" s="90">
        <v>2.1</v>
      </c>
      <c r="G41" s="90"/>
      <c r="H41" s="90">
        <v>2.7349999999999999</v>
      </c>
      <c r="I41" s="90">
        <f t="shared" si="4"/>
        <v>5.7435</v>
      </c>
      <c r="J41" s="213"/>
      <c r="L41" s="165"/>
      <c r="M41" s="105" t="s">
        <v>380</v>
      </c>
      <c r="N41" s="88" t="s">
        <v>13</v>
      </c>
      <c r="O41" s="90" t="s">
        <v>181</v>
      </c>
      <c r="P41" s="88">
        <v>-1</v>
      </c>
      <c r="Q41" s="88">
        <v>0.97</v>
      </c>
      <c r="R41" s="88"/>
      <c r="S41" s="88">
        <v>2.0699999999999998</v>
      </c>
      <c r="T41" s="90">
        <f t="shared" si="3"/>
        <v>-2.0078999999999998</v>
      </c>
      <c r="U41" s="213"/>
    </row>
    <row r="42" spans="1:21" x14ac:dyDescent="0.7">
      <c r="A42" s="165"/>
      <c r="B42" s="105" t="s">
        <v>382</v>
      </c>
      <c r="C42" s="90" t="s">
        <v>13</v>
      </c>
      <c r="D42" s="90" t="s">
        <v>181</v>
      </c>
      <c r="E42" s="90">
        <v>-1</v>
      </c>
      <c r="F42" s="90">
        <v>1.7949999999999999</v>
      </c>
      <c r="G42" s="90"/>
      <c r="H42" s="90">
        <v>1.1950000000000001</v>
      </c>
      <c r="I42" s="90">
        <f t="shared" si="4"/>
        <v>-2.145025</v>
      </c>
      <c r="J42" s="213"/>
      <c r="L42" s="165" t="s">
        <v>239</v>
      </c>
      <c r="M42" s="217" t="s">
        <v>396</v>
      </c>
      <c r="N42" s="88"/>
      <c r="O42" s="88"/>
      <c r="P42" s="88"/>
      <c r="Q42" s="88"/>
      <c r="R42" s="88"/>
      <c r="S42" s="88"/>
      <c r="T42" s="90"/>
      <c r="U42" s="213"/>
    </row>
    <row r="43" spans="1:21" x14ac:dyDescent="0.7">
      <c r="A43" s="165"/>
      <c r="B43" s="105" t="s">
        <v>380</v>
      </c>
      <c r="C43" s="90" t="s">
        <v>13</v>
      </c>
      <c r="D43" s="90" t="s">
        <v>181</v>
      </c>
      <c r="E43" s="90">
        <v>-1</v>
      </c>
      <c r="F43" s="90">
        <v>0.85</v>
      </c>
      <c r="G43" s="90"/>
      <c r="H43" s="90">
        <v>2.04</v>
      </c>
      <c r="I43" s="90">
        <f t="shared" si="4"/>
        <v>-1.734</v>
      </c>
      <c r="J43" s="213"/>
      <c r="L43" s="165"/>
      <c r="M43" s="218" t="s">
        <v>375</v>
      </c>
      <c r="N43" s="88" t="s">
        <v>13</v>
      </c>
      <c r="O43" s="90" t="s">
        <v>181</v>
      </c>
      <c r="P43" s="88">
        <v>2</v>
      </c>
      <c r="Q43" s="88">
        <v>3.0550000000000002</v>
      </c>
      <c r="R43" s="88"/>
      <c r="S43" s="88">
        <v>3.56</v>
      </c>
      <c r="T43" s="90">
        <f t="shared" ref="T43:T48" si="5">PRODUCT(P43:S43)</f>
        <v>21.7516</v>
      </c>
      <c r="U43" s="213"/>
    </row>
    <row r="44" spans="1:21" x14ac:dyDescent="0.7">
      <c r="A44" s="165">
        <v>7</v>
      </c>
      <c r="B44" s="217" t="s">
        <v>397</v>
      </c>
      <c r="C44" s="90"/>
      <c r="D44" s="90"/>
      <c r="E44" s="90"/>
      <c r="F44" s="90"/>
      <c r="G44" s="90"/>
      <c r="H44" s="90"/>
      <c r="I44" s="90">
        <f t="shared" si="4"/>
        <v>0</v>
      </c>
      <c r="J44" s="213"/>
      <c r="L44" s="165"/>
      <c r="M44" s="105" t="s">
        <v>395</v>
      </c>
      <c r="N44" s="88" t="s">
        <v>13</v>
      </c>
      <c r="O44" s="90" t="s">
        <v>181</v>
      </c>
      <c r="P44" s="88">
        <v>2</v>
      </c>
      <c r="Q44" s="88">
        <v>4.57</v>
      </c>
      <c r="R44" s="88"/>
      <c r="S44" s="88">
        <v>3.56</v>
      </c>
      <c r="T44" s="90">
        <f t="shared" si="5"/>
        <v>32.538400000000003</v>
      </c>
      <c r="U44" s="213"/>
    </row>
    <row r="45" spans="1:21" x14ac:dyDescent="0.7">
      <c r="A45" s="165"/>
      <c r="B45" s="105" t="s">
        <v>375</v>
      </c>
      <c r="C45" s="90" t="s">
        <v>13</v>
      </c>
      <c r="D45" s="90" t="s">
        <v>181</v>
      </c>
      <c r="E45" s="90">
        <v>2</v>
      </c>
      <c r="F45" s="90">
        <v>3.7250000000000001</v>
      </c>
      <c r="G45" s="90"/>
      <c r="H45" s="90">
        <v>2.72</v>
      </c>
      <c r="I45" s="90">
        <f t="shared" si="4"/>
        <v>20.264000000000003</v>
      </c>
      <c r="J45" s="213"/>
      <c r="L45" s="165"/>
      <c r="M45" s="105" t="s">
        <v>382</v>
      </c>
      <c r="N45" s="88" t="s">
        <v>13</v>
      </c>
      <c r="O45" s="90" t="s">
        <v>181</v>
      </c>
      <c r="P45" s="88">
        <v>-3</v>
      </c>
      <c r="Q45" s="88">
        <v>1.175</v>
      </c>
      <c r="R45" s="88"/>
      <c r="S45" s="88">
        <v>1.02</v>
      </c>
      <c r="T45" s="90">
        <f t="shared" si="5"/>
        <v>-3.5955000000000004</v>
      </c>
      <c r="U45" s="213"/>
    </row>
    <row r="46" spans="1:21" x14ac:dyDescent="0.7">
      <c r="A46" s="165"/>
      <c r="B46" s="105" t="s">
        <v>376</v>
      </c>
      <c r="C46" s="90" t="s">
        <v>13</v>
      </c>
      <c r="D46" s="90" t="s">
        <v>181</v>
      </c>
      <c r="E46" s="90">
        <v>1</v>
      </c>
      <c r="F46" s="90">
        <v>9.4</v>
      </c>
      <c r="G46" s="90"/>
      <c r="H46" s="90">
        <v>2.72</v>
      </c>
      <c r="I46" s="90">
        <f t="shared" si="4"/>
        <v>25.568000000000001</v>
      </c>
      <c r="J46" s="213"/>
      <c r="L46" s="165"/>
      <c r="M46" s="105" t="s">
        <v>380</v>
      </c>
      <c r="N46" s="88" t="s">
        <v>13</v>
      </c>
      <c r="O46" s="90" t="s">
        <v>181</v>
      </c>
      <c r="P46" s="88">
        <v>-1</v>
      </c>
      <c r="Q46" s="88">
        <v>0.97</v>
      </c>
      <c r="R46" s="88"/>
      <c r="S46" s="88">
        <v>2.08</v>
      </c>
      <c r="T46" s="90">
        <f t="shared" si="5"/>
        <v>-2.0175999999999998</v>
      </c>
      <c r="U46" s="213"/>
    </row>
    <row r="47" spans="1:21" x14ac:dyDescent="0.7">
      <c r="A47" s="165"/>
      <c r="B47" s="105" t="s">
        <v>378</v>
      </c>
      <c r="C47" s="90" t="s">
        <v>13</v>
      </c>
      <c r="D47" s="90" t="s">
        <v>181</v>
      </c>
      <c r="E47" s="90">
        <v>1</v>
      </c>
      <c r="F47" s="90">
        <v>9.4</v>
      </c>
      <c r="G47" s="90"/>
      <c r="H47" s="90">
        <v>3.7250000000000001</v>
      </c>
      <c r="I47" s="90">
        <f t="shared" si="4"/>
        <v>35.015000000000001</v>
      </c>
      <c r="J47" s="213"/>
      <c r="L47" s="165"/>
      <c r="M47" s="221" t="s">
        <v>381</v>
      </c>
      <c r="N47" s="90" t="s">
        <v>13</v>
      </c>
      <c r="O47" s="90" t="s">
        <v>181</v>
      </c>
      <c r="P47" s="90">
        <v>4</v>
      </c>
      <c r="Q47" s="90">
        <v>1.5649999999999999</v>
      </c>
      <c r="R47" s="90"/>
      <c r="S47" s="90">
        <v>1.2</v>
      </c>
      <c r="T47" s="90">
        <f t="shared" si="5"/>
        <v>7.5119999999999996</v>
      </c>
      <c r="U47" s="213"/>
    </row>
    <row r="48" spans="1:21" ht="34" x14ac:dyDescent="0.7">
      <c r="A48" s="165"/>
      <c r="B48" s="105" t="s">
        <v>398</v>
      </c>
      <c r="C48" s="90" t="s">
        <v>13</v>
      </c>
      <c r="D48" s="90" t="s">
        <v>181</v>
      </c>
      <c r="E48" s="90">
        <v>-1</v>
      </c>
      <c r="F48" s="90">
        <v>1.2749999999999999</v>
      </c>
      <c r="G48" s="90"/>
      <c r="H48" s="90">
        <v>1.31</v>
      </c>
      <c r="I48" s="90">
        <f t="shared" si="4"/>
        <v>-1.67025</v>
      </c>
      <c r="J48" s="213"/>
      <c r="L48" s="165"/>
      <c r="M48" s="188"/>
      <c r="N48" s="90"/>
      <c r="O48" s="90"/>
      <c r="P48" s="90">
        <f>4*2</f>
        <v>8</v>
      </c>
      <c r="Q48" s="90">
        <v>0.55000000000000004</v>
      </c>
      <c r="R48" s="90"/>
      <c r="S48" s="90">
        <v>0.1</v>
      </c>
      <c r="T48" s="90">
        <f t="shared" si="5"/>
        <v>0.44000000000000006</v>
      </c>
      <c r="U48" s="213"/>
    </row>
    <row r="49" spans="1:21" ht="34" x14ac:dyDescent="0.7">
      <c r="A49" s="165"/>
      <c r="B49" s="105" t="s">
        <v>398</v>
      </c>
      <c r="C49" s="90" t="s">
        <v>13</v>
      </c>
      <c r="D49" s="90" t="s">
        <v>181</v>
      </c>
      <c r="E49" s="90">
        <v>-1</v>
      </c>
      <c r="F49" s="90">
        <v>1.29</v>
      </c>
      <c r="G49" s="90"/>
      <c r="H49" s="90">
        <v>1.21</v>
      </c>
      <c r="I49" s="90">
        <f t="shared" si="4"/>
        <v>-1.5609</v>
      </c>
      <c r="J49" s="213"/>
      <c r="L49" s="165" t="s">
        <v>242</v>
      </c>
      <c r="M49" s="217" t="s">
        <v>399</v>
      </c>
      <c r="N49" s="88"/>
      <c r="O49" s="88"/>
      <c r="P49" s="88"/>
      <c r="Q49" s="88"/>
      <c r="R49" s="88"/>
      <c r="S49" s="88"/>
      <c r="T49" s="90"/>
      <c r="U49" s="213"/>
    </row>
    <row r="50" spans="1:21" x14ac:dyDescent="0.7">
      <c r="A50" s="165"/>
      <c r="B50" s="105" t="s">
        <v>400</v>
      </c>
      <c r="C50" s="90" t="s">
        <v>13</v>
      </c>
      <c r="D50" s="90" t="s">
        <v>181</v>
      </c>
      <c r="E50" s="90">
        <v>-1</v>
      </c>
      <c r="F50" s="90">
        <v>2.31</v>
      </c>
      <c r="G50" s="90"/>
      <c r="H50" s="90">
        <v>2.4300000000000002</v>
      </c>
      <c r="I50" s="90">
        <f t="shared" si="4"/>
        <v>-5.6133000000000006</v>
      </c>
      <c r="J50" s="213"/>
      <c r="L50" s="165"/>
      <c r="M50" s="218" t="s">
        <v>375</v>
      </c>
      <c r="N50" s="88" t="s">
        <v>13</v>
      </c>
      <c r="O50" s="90" t="s">
        <v>181</v>
      </c>
      <c r="P50" s="88">
        <v>2</v>
      </c>
      <c r="Q50" s="88">
        <v>5.0599999999999996</v>
      </c>
      <c r="R50" s="88"/>
      <c r="S50" s="88">
        <v>4.38</v>
      </c>
      <c r="T50" s="90">
        <f>PRODUCT(P50:S50)</f>
        <v>44.325599999999994</v>
      </c>
      <c r="U50" s="213"/>
    </row>
    <row r="51" spans="1:21" x14ac:dyDescent="0.7">
      <c r="A51" s="165"/>
      <c r="B51" s="105" t="s">
        <v>401</v>
      </c>
      <c r="C51" s="90" t="s">
        <v>13</v>
      </c>
      <c r="D51" s="90" t="s">
        <v>181</v>
      </c>
      <c r="E51" s="90">
        <v>-1</v>
      </c>
      <c r="F51" s="90">
        <v>1.2450000000000001</v>
      </c>
      <c r="G51" s="90"/>
      <c r="H51" s="90">
        <v>1.2949999999999999</v>
      </c>
      <c r="I51" s="90">
        <f t="shared" si="4"/>
        <v>-1.6122750000000001</v>
      </c>
      <c r="J51" s="213"/>
      <c r="L51" s="165"/>
      <c r="M51" s="105" t="s">
        <v>395</v>
      </c>
      <c r="N51" s="88" t="s">
        <v>13</v>
      </c>
      <c r="O51" s="90" t="s">
        <v>181</v>
      </c>
      <c r="P51" s="88">
        <v>1</v>
      </c>
      <c r="Q51" s="88">
        <v>5.08</v>
      </c>
      <c r="R51" s="88"/>
      <c r="S51" s="88">
        <v>4.38</v>
      </c>
      <c r="T51" s="90">
        <f>PRODUCT(P51:S51)</f>
        <v>22.250399999999999</v>
      </c>
      <c r="U51" s="213"/>
    </row>
    <row r="52" spans="1:21" x14ac:dyDescent="0.7">
      <c r="A52" s="165"/>
      <c r="B52" s="105" t="s">
        <v>380</v>
      </c>
      <c r="C52" s="90" t="s">
        <v>13</v>
      </c>
      <c r="D52" s="90" t="s">
        <v>181</v>
      </c>
      <c r="E52" s="90">
        <v>-1</v>
      </c>
      <c r="F52" s="90">
        <v>1.45</v>
      </c>
      <c r="G52" s="90"/>
      <c r="H52" s="90">
        <v>2.08</v>
      </c>
      <c r="I52" s="90">
        <f t="shared" si="4"/>
        <v>-3.016</v>
      </c>
      <c r="J52" s="213"/>
      <c r="L52" s="165"/>
      <c r="M52" s="105" t="s">
        <v>402</v>
      </c>
      <c r="N52" s="88" t="s">
        <v>13</v>
      </c>
      <c r="O52" s="90" t="s">
        <v>181</v>
      </c>
      <c r="P52" s="88">
        <v>2</v>
      </c>
      <c r="Q52" s="88">
        <v>0.3</v>
      </c>
      <c r="R52" s="88"/>
      <c r="S52" s="88">
        <v>4.08</v>
      </c>
      <c r="T52" s="88">
        <f>PRODUCT(P52:S52)</f>
        <v>2.448</v>
      </c>
      <c r="U52" s="213"/>
    </row>
    <row r="53" spans="1:21" x14ac:dyDescent="0.7">
      <c r="A53" s="165">
        <v>8</v>
      </c>
      <c r="B53" s="217" t="s">
        <v>403</v>
      </c>
      <c r="C53" s="90"/>
      <c r="D53" s="90"/>
      <c r="E53" s="90"/>
      <c r="F53" s="90"/>
      <c r="G53" s="90"/>
      <c r="H53" s="90"/>
      <c r="I53" s="90"/>
      <c r="J53" s="213"/>
      <c r="L53" s="165"/>
      <c r="M53" s="105" t="s">
        <v>404</v>
      </c>
      <c r="N53" s="88" t="s">
        <v>13</v>
      </c>
      <c r="O53" s="90" t="s">
        <v>181</v>
      </c>
      <c r="P53" s="88">
        <v>1</v>
      </c>
      <c r="Q53" s="88">
        <v>5.08</v>
      </c>
      <c r="R53" s="88"/>
      <c r="S53" s="88">
        <v>1.4</v>
      </c>
      <c r="T53" s="88">
        <f>PRODUCT(P53:S53)</f>
        <v>7.1119999999999992</v>
      </c>
      <c r="U53" s="213"/>
    </row>
    <row r="54" spans="1:21" x14ac:dyDescent="0.7">
      <c r="A54" s="165"/>
      <c r="B54" s="105" t="s">
        <v>375</v>
      </c>
      <c r="C54" s="90" t="s">
        <v>13</v>
      </c>
      <c r="D54" s="90" t="s">
        <v>181</v>
      </c>
      <c r="E54" s="90">
        <v>2</v>
      </c>
      <c r="F54" s="90">
        <v>2</v>
      </c>
      <c r="G54" s="90"/>
      <c r="H54" s="90">
        <v>0.7</v>
      </c>
      <c r="I54" s="90">
        <f>PRODUCT(E54:H54)</f>
        <v>2.8</v>
      </c>
      <c r="J54" s="213"/>
      <c r="L54" s="165"/>
      <c r="M54" s="105" t="s">
        <v>382</v>
      </c>
      <c r="N54" s="88" t="s">
        <v>13</v>
      </c>
      <c r="O54" s="90" t="s">
        <v>181</v>
      </c>
      <c r="P54" s="88">
        <v>-1</v>
      </c>
      <c r="Q54" s="88">
        <v>1.1599999999999999</v>
      </c>
      <c r="R54" s="88"/>
      <c r="S54" s="88">
        <v>1.145</v>
      </c>
      <c r="T54" s="88">
        <f>PRODUCT(P54:S54)</f>
        <v>-1.3281999999999998</v>
      </c>
      <c r="U54" s="213"/>
    </row>
    <row r="55" spans="1:21" ht="34" x14ac:dyDescent="0.7">
      <c r="A55" s="165"/>
      <c r="B55" s="105" t="s">
        <v>376</v>
      </c>
      <c r="C55" s="90" t="s">
        <v>13</v>
      </c>
      <c r="D55" s="90" t="s">
        <v>181</v>
      </c>
      <c r="E55" s="90">
        <v>2</v>
      </c>
      <c r="F55" s="90">
        <v>2</v>
      </c>
      <c r="G55" s="90"/>
      <c r="H55" s="90">
        <v>0.7</v>
      </c>
      <c r="I55" s="90">
        <f>PRODUCT(E55:H55)</f>
        <v>2.8</v>
      </c>
      <c r="J55" s="213"/>
      <c r="L55" s="165" t="s">
        <v>48</v>
      </c>
      <c r="M55" s="217" t="s">
        <v>405</v>
      </c>
      <c r="N55" s="88"/>
      <c r="O55" s="88"/>
      <c r="P55" s="88"/>
      <c r="Q55" s="88"/>
      <c r="R55" s="88"/>
      <c r="S55" s="88"/>
      <c r="T55" s="90"/>
      <c r="U55" s="213"/>
    </row>
    <row r="56" spans="1:21" x14ac:dyDescent="0.7">
      <c r="A56" s="165"/>
      <c r="B56" s="105" t="s">
        <v>378</v>
      </c>
      <c r="C56" s="90" t="s">
        <v>13</v>
      </c>
      <c r="D56" s="90" t="s">
        <v>181</v>
      </c>
      <c r="E56" s="90">
        <v>1</v>
      </c>
      <c r="F56" s="90">
        <v>2</v>
      </c>
      <c r="G56" s="90"/>
      <c r="H56" s="90">
        <v>2</v>
      </c>
      <c r="I56" s="90">
        <f>PRODUCT(E56:H56)</f>
        <v>4</v>
      </c>
      <c r="J56" s="213"/>
      <c r="L56" s="165"/>
      <c r="M56" s="218" t="s">
        <v>375</v>
      </c>
      <c r="N56" s="88" t="s">
        <v>13</v>
      </c>
      <c r="O56" s="90" t="s">
        <v>181</v>
      </c>
      <c r="P56" s="88">
        <v>2</v>
      </c>
      <c r="Q56" s="88">
        <v>2.6</v>
      </c>
      <c r="R56" s="88"/>
      <c r="S56" s="88">
        <v>4.0999999999999996</v>
      </c>
      <c r="T56" s="90">
        <f t="shared" ref="T56:T62" si="6">PRODUCT(P56:S56)</f>
        <v>21.32</v>
      </c>
      <c r="U56" s="213"/>
    </row>
    <row r="57" spans="1:21" x14ac:dyDescent="0.7">
      <c r="A57" s="165">
        <v>9</v>
      </c>
      <c r="B57" s="217" t="s">
        <v>406</v>
      </c>
      <c r="C57" s="90"/>
      <c r="D57" s="90"/>
      <c r="E57" s="90"/>
      <c r="F57" s="90"/>
      <c r="G57" s="90"/>
      <c r="H57" s="90"/>
      <c r="I57" s="90"/>
      <c r="J57" s="213"/>
      <c r="L57" s="165"/>
      <c r="M57" s="105" t="s">
        <v>393</v>
      </c>
      <c r="N57" s="88" t="s">
        <v>13</v>
      </c>
      <c r="O57" s="90" t="s">
        <v>181</v>
      </c>
      <c r="P57" s="88">
        <v>2</v>
      </c>
      <c r="Q57" s="88">
        <v>2.59</v>
      </c>
      <c r="R57" s="88"/>
      <c r="S57" s="88">
        <v>4.0999999999999996</v>
      </c>
      <c r="T57" s="90">
        <f t="shared" si="6"/>
        <v>21.237999999999996</v>
      </c>
      <c r="U57" s="213"/>
    </row>
    <row r="58" spans="1:21" x14ac:dyDescent="0.7">
      <c r="A58" s="165"/>
      <c r="B58" s="105" t="s">
        <v>389</v>
      </c>
      <c r="C58" s="90" t="s">
        <v>13</v>
      </c>
      <c r="D58" s="90" t="s">
        <v>181</v>
      </c>
      <c r="E58" s="90">
        <v>1</v>
      </c>
      <c r="F58" s="90">
        <f>3.7*2+1.71*2+1.2+3*1+0.7</f>
        <v>15.719999999999999</v>
      </c>
      <c r="G58" s="90"/>
      <c r="H58" s="90">
        <v>0.7</v>
      </c>
      <c r="I58" s="90">
        <f>PRODUCT(E58:H58)</f>
        <v>11.003999999999998</v>
      </c>
      <c r="J58" s="213"/>
      <c r="L58" s="165"/>
      <c r="M58" s="105" t="s">
        <v>381</v>
      </c>
      <c r="N58" s="88" t="s">
        <v>13</v>
      </c>
      <c r="O58" s="90" t="s">
        <v>181</v>
      </c>
      <c r="P58" s="88">
        <v>2</v>
      </c>
      <c r="Q58" s="88">
        <v>1.33</v>
      </c>
      <c r="R58" s="88"/>
      <c r="S58" s="88">
        <v>1.2</v>
      </c>
      <c r="T58" s="90">
        <f t="shared" si="6"/>
        <v>3.1920000000000002</v>
      </c>
      <c r="U58" s="213"/>
    </row>
    <row r="59" spans="1:21" x14ac:dyDescent="0.7">
      <c r="A59" s="165"/>
      <c r="B59" s="105" t="s">
        <v>407</v>
      </c>
      <c r="C59" s="90" t="s">
        <v>13</v>
      </c>
      <c r="D59" s="90" t="s">
        <v>181</v>
      </c>
      <c r="E59" s="90">
        <v>2</v>
      </c>
      <c r="F59" s="90">
        <v>2.2999999999999998</v>
      </c>
      <c r="G59" s="90"/>
      <c r="H59" s="90">
        <v>0.7</v>
      </c>
      <c r="I59" s="90">
        <f>PRODUCT(E59:H59)</f>
        <v>3.2199999999999998</v>
      </c>
      <c r="J59" s="213"/>
      <c r="L59" s="165"/>
      <c r="M59" s="105"/>
      <c r="N59" s="88" t="s">
        <v>13</v>
      </c>
      <c r="O59" s="90" t="s">
        <v>181</v>
      </c>
      <c r="P59" s="88">
        <v>4</v>
      </c>
      <c r="Q59" s="88">
        <v>0.55000000000000004</v>
      </c>
      <c r="R59" s="88"/>
      <c r="S59" s="88">
        <v>0.1</v>
      </c>
      <c r="T59" s="90">
        <f t="shared" si="6"/>
        <v>0.22000000000000003</v>
      </c>
      <c r="U59" s="213"/>
    </row>
    <row r="60" spans="1:21" x14ac:dyDescent="0.7">
      <c r="A60" s="165"/>
      <c r="B60" s="105" t="s">
        <v>378</v>
      </c>
      <c r="C60" s="90" t="s">
        <v>13</v>
      </c>
      <c r="D60" s="90" t="s">
        <v>181</v>
      </c>
      <c r="E60" s="90">
        <v>1</v>
      </c>
      <c r="F60" s="90">
        <v>1.71</v>
      </c>
      <c r="G60" s="90"/>
      <c r="H60" s="90">
        <v>3.7</v>
      </c>
      <c r="I60" s="90">
        <f>PRODUCT(E60:H60)</f>
        <v>6.327</v>
      </c>
      <c r="J60" s="213"/>
      <c r="L60" s="165"/>
      <c r="M60" s="105"/>
      <c r="N60" s="88" t="s">
        <v>13</v>
      </c>
      <c r="O60" s="90" t="s">
        <v>181</v>
      </c>
      <c r="P60" s="88">
        <v>2</v>
      </c>
      <c r="Q60" s="88">
        <v>1.59</v>
      </c>
      <c r="R60" s="88"/>
      <c r="S60" s="88">
        <v>1.2</v>
      </c>
      <c r="T60" s="90">
        <f t="shared" si="6"/>
        <v>3.8159999999999998</v>
      </c>
      <c r="U60" s="213"/>
    </row>
    <row r="61" spans="1:21" x14ac:dyDescent="0.7">
      <c r="A61" s="165"/>
      <c r="B61" s="105" t="s">
        <v>408</v>
      </c>
      <c r="C61" s="90" t="s">
        <v>13</v>
      </c>
      <c r="D61" s="90" t="s">
        <v>181</v>
      </c>
      <c r="E61" s="90">
        <v>1</v>
      </c>
      <c r="F61" s="90">
        <v>2.2999999999999998</v>
      </c>
      <c r="G61" s="90"/>
      <c r="H61" s="90">
        <v>0.7</v>
      </c>
      <c r="I61" s="90">
        <f>PRODUCT(E61:H61)</f>
        <v>1.6099999999999999</v>
      </c>
      <c r="J61" s="213"/>
      <c r="L61" s="165"/>
      <c r="M61" s="105" t="s">
        <v>380</v>
      </c>
      <c r="N61" s="88" t="s">
        <v>13</v>
      </c>
      <c r="O61" s="90" t="s">
        <v>181</v>
      </c>
      <c r="P61" s="88">
        <v>-1</v>
      </c>
      <c r="Q61" s="88">
        <v>0.995</v>
      </c>
      <c r="R61" s="88"/>
      <c r="S61" s="88">
        <v>2.09</v>
      </c>
      <c r="T61" s="90">
        <f t="shared" si="6"/>
        <v>-2.0795499999999998</v>
      </c>
      <c r="U61" s="213"/>
    </row>
    <row r="62" spans="1:21" x14ac:dyDescent="0.7">
      <c r="A62" s="165"/>
      <c r="B62" s="105" t="s">
        <v>390</v>
      </c>
      <c r="C62" s="90" t="s">
        <v>13</v>
      </c>
      <c r="D62" s="90" t="s">
        <v>181</v>
      </c>
      <c r="E62" s="90">
        <v>-2</v>
      </c>
      <c r="F62" s="90">
        <v>0.55000000000000004</v>
      </c>
      <c r="G62" s="90"/>
      <c r="H62" s="90">
        <v>0.57999999999999996</v>
      </c>
      <c r="I62" s="90">
        <f>PRODUCT(E62:H62)</f>
        <v>-0.63800000000000001</v>
      </c>
      <c r="J62" s="213"/>
      <c r="L62" s="165"/>
      <c r="M62" s="105" t="s">
        <v>382</v>
      </c>
      <c r="N62" s="88" t="s">
        <v>13</v>
      </c>
      <c r="O62" s="90" t="s">
        <v>181</v>
      </c>
      <c r="P62" s="88">
        <v>-1</v>
      </c>
      <c r="Q62" s="88">
        <v>1.2</v>
      </c>
      <c r="R62" s="88"/>
      <c r="S62" s="88">
        <v>1.1100000000000001</v>
      </c>
      <c r="T62" s="90">
        <f t="shared" si="6"/>
        <v>-1.3320000000000001</v>
      </c>
      <c r="U62" s="213"/>
    </row>
    <row r="63" spans="1:21" ht="34" x14ac:dyDescent="0.7">
      <c r="A63" s="165">
        <v>10</v>
      </c>
      <c r="B63" s="217" t="s">
        <v>409</v>
      </c>
      <c r="C63" s="90"/>
      <c r="D63" s="90"/>
      <c r="E63" s="90"/>
      <c r="F63" s="90"/>
      <c r="G63" s="90"/>
      <c r="H63" s="90"/>
      <c r="I63" s="90"/>
      <c r="J63" s="213"/>
      <c r="L63" s="165" t="s">
        <v>73</v>
      </c>
      <c r="M63" s="217" t="s">
        <v>410</v>
      </c>
      <c r="N63" s="88"/>
      <c r="O63" s="88"/>
      <c r="P63" s="88"/>
      <c r="Q63" s="88"/>
      <c r="R63" s="88"/>
      <c r="S63" s="88"/>
      <c r="T63" s="90"/>
      <c r="U63" s="213"/>
    </row>
    <row r="64" spans="1:21" x14ac:dyDescent="0.7">
      <c r="A64" s="165"/>
      <c r="B64" s="105" t="s">
        <v>389</v>
      </c>
      <c r="C64" s="90" t="s">
        <v>13</v>
      </c>
      <c r="D64" s="90" t="s">
        <v>181</v>
      </c>
      <c r="E64" s="90">
        <v>4</v>
      </c>
      <c r="F64" s="90">
        <v>1.8</v>
      </c>
      <c r="G64" s="90"/>
      <c r="H64" s="90">
        <v>0.7</v>
      </c>
      <c r="I64" s="90">
        <f>PRODUCT(E64:H64)</f>
        <v>5.04</v>
      </c>
      <c r="J64" s="213"/>
      <c r="L64" s="165"/>
      <c r="M64" s="218" t="s">
        <v>375</v>
      </c>
      <c r="N64" s="88" t="s">
        <v>13</v>
      </c>
      <c r="O64" s="90" t="s">
        <v>181</v>
      </c>
      <c r="P64" s="88">
        <v>2</v>
      </c>
      <c r="Q64" s="88">
        <v>4.0250000000000004</v>
      </c>
      <c r="R64" s="88"/>
      <c r="S64" s="88">
        <v>3.63</v>
      </c>
      <c r="T64" s="90">
        <f t="shared" ref="T64:T75" si="7">PRODUCT(P64:S64)</f>
        <v>29.221500000000002</v>
      </c>
      <c r="U64" s="213"/>
    </row>
    <row r="65" spans="1:21" x14ac:dyDescent="0.7">
      <c r="A65" s="165"/>
      <c r="B65" s="105" t="s">
        <v>407</v>
      </c>
      <c r="C65" s="90" t="s">
        <v>13</v>
      </c>
      <c r="D65" s="90" t="s">
        <v>181</v>
      </c>
      <c r="E65" s="90">
        <v>2</v>
      </c>
      <c r="F65" s="90">
        <v>2.2999999999999998</v>
      </c>
      <c r="G65" s="90"/>
      <c r="H65" s="90">
        <v>0.7</v>
      </c>
      <c r="I65" s="90">
        <f>PRODUCT(E65:H65)</f>
        <v>3.2199999999999998</v>
      </c>
      <c r="J65" s="213"/>
      <c r="L65" s="165"/>
      <c r="M65" s="105" t="s">
        <v>395</v>
      </c>
      <c r="N65" s="88" t="s">
        <v>13</v>
      </c>
      <c r="O65" s="90" t="s">
        <v>181</v>
      </c>
      <c r="P65" s="88">
        <v>1</v>
      </c>
      <c r="Q65" s="88">
        <v>6.03</v>
      </c>
      <c r="R65" s="88"/>
      <c r="S65" s="88">
        <v>3.63</v>
      </c>
      <c r="T65" s="90">
        <f t="shared" si="7"/>
        <v>21.8889</v>
      </c>
      <c r="U65" s="213"/>
    </row>
    <row r="66" spans="1:21" x14ac:dyDescent="0.7">
      <c r="A66" s="165"/>
      <c r="B66" s="105" t="s">
        <v>378</v>
      </c>
      <c r="C66" s="90" t="s">
        <v>13</v>
      </c>
      <c r="D66" s="90" t="s">
        <v>181</v>
      </c>
      <c r="E66" s="90">
        <v>1</v>
      </c>
      <c r="F66" s="90">
        <v>1.8</v>
      </c>
      <c r="G66" s="90"/>
      <c r="H66" s="90">
        <v>1.8</v>
      </c>
      <c r="I66" s="90">
        <f>PRODUCT(E66:H66)</f>
        <v>3.24</v>
      </c>
      <c r="J66" s="213"/>
      <c r="L66" s="165"/>
      <c r="M66" s="105" t="s">
        <v>376</v>
      </c>
      <c r="N66" s="88" t="s">
        <v>13</v>
      </c>
      <c r="O66" s="90" t="s">
        <v>181</v>
      </c>
      <c r="P66" s="88">
        <v>1</v>
      </c>
      <c r="Q66" s="88">
        <v>6.03</v>
      </c>
      <c r="R66" s="88"/>
      <c r="S66" s="88">
        <v>3.63</v>
      </c>
      <c r="T66" s="90">
        <f t="shared" si="7"/>
        <v>21.8889</v>
      </c>
      <c r="U66" s="213"/>
    </row>
    <row r="67" spans="1:21" x14ac:dyDescent="0.7">
      <c r="A67" s="165"/>
      <c r="B67" s="105" t="s">
        <v>408</v>
      </c>
      <c r="C67" s="90" t="s">
        <v>13</v>
      </c>
      <c r="D67" s="90" t="s">
        <v>181</v>
      </c>
      <c r="E67" s="90">
        <v>1</v>
      </c>
      <c r="F67" s="90">
        <v>2.2999999999999998</v>
      </c>
      <c r="G67" s="90"/>
      <c r="H67" s="90">
        <v>0.7</v>
      </c>
      <c r="I67" s="90"/>
      <c r="J67" s="213"/>
      <c r="L67" s="165"/>
      <c r="M67" s="105" t="s">
        <v>381</v>
      </c>
      <c r="N67" s="88" t="s">
        <v>13</v>
      </c>
      <c r="O67" s="90" t="s">
        <v>181</v>
      </c>
      <c r="P67" s="88">
        <v>4</v>
      </c>
      <c r="Q67" s="88">
        <v>0.94499999999999995</v>
      </c>
      <c r="R67" s="88"/>
      <c r="S67" s="88">
        <v>1.2</v>
      </c>
      <c r="T67" s="90">
        <f t="shared" si="7"/>
        <v>4.5359999999999996</v>
      </c>
      <c r="U67" s="213"/>
    </row>
    <row r="68" spans="1:21" x14ac:dyDescent="0.7">
      <c r="A68" s="165">
        <v>11</v>
      </c>
      <c r="B68" s="217" t="s">
        <v>411</v>
      </c>
      <c r="C68" s="90"/>
      <c r="D68" s="90"/>
      <c r="E68" s="90"/>
      <c r="F68" s="90"/>
      <c r="G68" s="90"/>
      <c r="H68" s="90"/>
      <c r="I68" s="90"/>
      <c r="J68" s="213"/>
      <c r="L68" s="165"/>
      <c r="M68" s="105" t="s">
        <v>381</v>
      </c>
      <c r="N68" s="88" t="s">
        <v>13</v>
      </c>
      <c r="O68" s="90" t="s">
        <v>181</v>
      </c>
      <c r="P68" s="88">
        <v>12</v>
      </c>
      <c r="Q68" s="88">
        <v>0.55000000000000004</v>
      </c>
      <c r="R68" s="88"/>
      <c r="S68" s="88">
        <v>0.1</v>
      </c>
      <c r="T68" s="90">
        <f t="shared" si="7"/>
        <v>0.66000000000000014</v>
      </c>
      <c r="U68" s="213"/>
    </row>
    <row r="69" spans="1:21" x14ac:dyDescent="0.7">
      <c r="A69" s="165"/>
      <c r="B69" s="105" t="s">
        <v>375</v>
      </c>
      <c r="C69" s="90" t="s">
        <v>13</v>
      </c>
      <c r="D69" s="90" t="s">
        <v>181</v>
      </c>
      <c r="E69" s="90">
        <v>2</v>
      </c>
      <c r="F69" s="90">
        <v>1.62</v>
      </c>
      <c r="G69" s="90"/>
      <c r="H69" s="90">
        <v>0.7</v>
      </c>
      <c r="I69" s="90">
        <f>PRODUCT(E69:H69)</f>
        <v>2.2679999999999998</v>
      </c>
      <c r="J69" s="213"/>
      <c r="L69" s="165"/>
      <c r="M69" s="105" t="s">
        <v>412</v>
      </c>
      <c r="N69" s="88" t="s">
        <v>13</v>
      </c>
      <c r="O69" s="90" t="s">
        <v>181</v>
      </c>
      <c r="P69" s="88">
        <v>-4</v>
      </c>
      <c r="Q69" s="88">
        <v>0.53500000000000003</v>
      </c>
      <c r="R69" s="88"/>
      <c r="S69" s="88">
        <v>0.56000000000000005</v>
      </c>
      <c r="T69" s="90">
        <f t="shared" si="7"/>
        <v>-1.1984000000000001</v>
      </c>
      <c r="U69" s="213"/>
    </row>
    <row r="70" spans="1:21" x14ac:dyDescent="0.7">
      <c r="A70" s="165"/>
      <c r="B70" s="105" t="s">
        <v>376</v>
      </c>
      <c r="C70" s="90" t="s">
        <v>13</v>
      </c>
      <c r="D70" s="90" t="s">
        <v>181</v>
      </c>
      <c r="E70" s="90">
        <v>2</v>
      </c>
      <c r="F70" s="90">
        <v>1.75</v>
      </c>
      <c r="G70" s="90"/>
      <c r="H70" s="90">
        <v>0.7</v>
      </c>
      <c r="I70" s="90">
        <f>PRODUCT(E70:H70)</f>
        <v>2.4499999999999997</v>
      </c>
      <c r="J70" s="213"/>
      <c r="L70" s="165"/>
      <c r="M70" s="105" t="s">
        <v>380</v>
      </c>
      <c r="N70" s="88" t="s">
        <v>13</v>
      </c>
      <c r="O70" s="90" t="s">
        <v>181</v>
      </c>
      <c r="P70" s="88">
        <v>-2</v>
      </c>
      <c r="Q70" s="88">
        <v>0.89</v>
      </c>
      <c r="R70" s="88"/>
      <c r="S70" s="88">
        <v>2.165</v>
      </c>
      <c r="T70" s="90">
        <f t="shared" si="7"/>
        <v>-3.8536999999999999</v>
      </c>
      <c r="U70" s="213"/>
    </row>
    <row r="71" spans="1:21" x14ac:dyDescent="0.7">
      <c r="A71" s="165"/>
      <c r="B71" s="105" t="s">
        <v>378</v>
      </c>
      <c r="C71" s="90" t="s">
        <v>13</v>
      </c>
      <c r="D71" s="90" t="s">
        <v>181</v>
      </c>
      <c r="E71" s="90">
        <v>1</v>
      </c>
      <c r="F71" s="90">
        <v>1.75</v>
      </c>
      <c r="G71" s="90"/>
      <c r="H71" s="90">
        <v>1.62</v>
      </c>
      <c r="I71" s="90">
        <f>PRODUCT(E71:H71)</f>
        <v>2.835</v>
      </c>
      <c r="J71" s="213"/>
      <c r="L71" s="165"/>
      <c r="M71" s="105" t="s">
        <v>382</v>
      </c>
      <c r="N71" s="88" t="s">
        <v>13</v>
      </c>
      <c r="O71" s="90" t="s">
        <v>181</v>
      </c>
      <c r="P71" s="88">
        <v>-1</v>
      </c>
      <c r="Q71" s="88">
        <v>1.135</v>
      </c>
      <c r="R71" s="88"/>
      <c r="S71" s="88">
        <v>1.145</v>
      </c>
      <c r="T71" s="90">
        <f t="shared" si="7"/>
        <v>-1.2995749999999999</v>
      </c>
      <c r="U71" s="213"/>
    </row>
    <row r="72" spans="1:21" x14ac:dyDescent="0.7">
      <c r="A72" s="165"/>
      <c r="B72" s="105"/>
      <c r="C72" s="90"/>
      <c r="D72" s="90"/>
      <c r="E72" s="90"/>
      <c r="F72" s="90"/>
      <c r="G72" s="90"/>
      <c r="H72" s="90"/>
      <c r="I72" s="90"/>
      <c r="J72" s="213"/>
      <c r="L72" s="165"/>
      <c r="M72" s="105" t="s">
        <v>382</v>
      </c>
      <c r="N72" s="88" t="s">
        <v>13</v>
      </c>
      <c r="O72" s="90" t="s">
        <v>181</v>
      </c>
      <c r="P72" s="88">
        <v>-1</v>
      </c>
      <c r="Q72" s="88">
        <v>1.175</v>
      </c>
      <c r="R72" s="88"/>
      <c r="S72" s="88">
        <v>1.2050000000000001</v>
      </c>
      <c r="T72" s="90">
        <f t="shared" si="7"/>
        <v>-1.4158750000000002</v>
      </c>
      <c r="U72" s="213"/>
    </row>
    <row r="73" spans="1:21" x14ac:dyDescent="0.7">
      <c r="A73" s="165" t="s">
        <v>234</v>
      </c>
      <c r="B73" s="217" t="s">
        <v>304</v>
      </c>
      <c r="C73" s="90"/>
      <c r="D73" s="90"/>
      <c r="E73" s="90"/>
      <c r="F73" s="90"/>
      <c r="G73" s="90"/>
      <c r="H73" s="90"/>
      <c r="I73" s="90"/>
      <c r="J73" s="213"/>
      <c r="L73" s="165"/>
      <c r="M73" s="105" t="s">
        <v>382</v>
      </c>
      <c r="N73" s="88" t="s">
        <v>13</v>
      </c>
      <c r="O73" s="90" t="s">
        <v>181</v>
      </c>
      <c r="P73" s="88">
        <v>-2</v>
      </c>
      <c r="Q73" s="88">
        <v>0.59</v>
      </c>
      <c r="R73" s="88"/>
      <c r="S73" s="88">
        <v>1.2649999999999999</v>
      </c>
      <c r="T73" s="90">
        <f t="shared" si="7"/>
        <v>-1.4926999999999999</v>
      </c>
      <c r="U73" s="213"/>
    </row>
    <row r="74" spans="1:21" x14ac:dyDescent="0.7">
      <c r="A74" s="165">
        <v>1</v>
      </c>
      <c r="B74" s="217" t="s">
        <v>294</v>
      </c>
      <c r="C74" s="90"/>
      <c r="D74" s="90"/>
      <c r="E74" s="90"/>
      <c r="F74" s="90"/>
      <c r="G74" s="90"/>
      <c r="H74" s="90"/>
      <c r="I74" s="90"/>
      <c r="J74" s="213"/>
      <c r="L74" s="165"/>
      <c r="M74" s="105" t="s">
        <v>381</v>
      </c>
      <c r="N74" s="88" t="s">
        <v>13</v>
      </c>
      <c r="O74" s="90" t="s">
        <v>181</v>
      </c>
      <c r="P74" s="88">
        <v>2</v>
      </c>
      <c r="Q74" s="88">
        <v>1.6</v>
      </c>
      <c r="R74" s="88"/>
      <c r="S74" s="88">
        <v>1.2</v>
      </c>
      <c r="T74" s="88">
        <f t="shared" si="7"/>
        <v>3.84</v>
      </c>
      <c r="U74" s="213"/>
    </row>
    <row r="75" spans="1:21" x14ac:dyDescent="0.7">
      <c r="A75" s="165"/>
      <c r="B75" s="105" t="s">
        <v>413</v>
      </c>
      <c r="C75" s="90" t="s">
        <v>13</v>
      </c>
      <c r="D75" s="90" t="s">
        <v>181</v>
      </c>
      <c r="E75" s="90">
        <v>2</v>
      </c>
      <c r="F75" s="90">
        <v>3.98</v>
      </c>
      <c r="G75" s="90"/>
      <c r="H75" s="90">
        <v>2.72</v>
      </c>
      <c r="I75" s="90">
        <f>PRODUCT(E75:H75)</f>
        <v>21.651200000000003</v>
      </c>
      <c r="J75" s="213"/>
      <c r="L75" s="165"/>
      <c r="M75" s="105" t="s">
        <v>381</v>
      </c>
      <c r="N75" s="88" t="s">
        <v>13</v>
      </c>
      <c r="O75" s="90" t="s">
        <v>181</v>
      </c>
      <c r="P75" s="88">
        <v>1</v>
      </c>
      <c r="Q75" s="88">
        <v>3.68</v>
      </c>
      <c r="R75" s="88"/>
      <c r="S75" s="88">
        <v>1.2</v>
      </c>
      <c r="T75" s="88">
        <f t="shared" si="7"/>
        <v>4.4160000000000004</v>
      </c>
      <c r="U75" s="213"/>
    </row>
    <row r="76" spans="1:21" ht="34" x14ac:dyDescent="0.7">
      <c r="A76" s="165"/>
      <c r="B76" s="105" t="s">
        <v>414</v>
      </c>
      <c r="C76" s="90" t="s">
        <v>13</v>
      </c>
      <c r="D76" s="90" t="s">
        <v>181</v>
      </c>
      <c r="E76" s="90">
        <v>2</v>
      </c>
      <c r="F76" s="90">
        <v>3</v>
      </c>
      <c r="G76" s="90"/>
      <c r="H76" s="90">
        <v>2.72</v>
      </c>
      <c r="I76" s="90">
        <f>PRODUCT(E76:H76)</f>
        <v>16.32</v>
      </c>
      <c r="J76" s="213"/>
      <c r="L76" s="165" t="s">
        <v>79</v>
      </c>
      <c r="M76" s="217" t="s">
        <v>415</v>
      </c>
      <c r="N76" s="88"/>
      <c r="O76" s="88"/>
      <c r="P76" s="88"/>
      <c r="Q76" s="88"/>
      <c r="R76" s="88"/>
      <c r="S76" s="88"/>
      <c r="T76" s="89"/>
      <c r="U76" s="213"/>
    </row>
    <row r="77" spans="1:21" x14ac:dyDescent="0.7">
      <c r="A77" s="165"/>
      <c r="B77" s="105" t="s">
        <v>416</v>
      </c>
      <c r="C77" s="90" t="s">
        <v>13</v>
      </c>
      <c r="D77" s="90" t="s">
        <v>181</v>
      </c>
      <c r="E77" s="90">
        <v>1</v>
      </c>
      <c r="F77" s="90">
        <v>3.98</v>
      </c>
      <c r="G77" s="90"/>
      <c r="H77" s="90">
        <v>3</v>
      </c>
      <c r="I77" s="90">
        <f>PRODUCT(E77:H77)</f>
        <v>11.94</v>
      </c>
      <c r="J77" s="213"/>
      <c r="L77" s="165"/>
      <c r="M77" s="218" t="s">
        <v>375</v>
      </c>
      <c r="N77" s="88" t="s">
        <v>13</v>
      </c>
      <c r="O77" s="88" t="s">
        <v>173</v>
      </c>
      <c r="P77" s="88">
        <f>2+2</f>
        <v>4</v>
      </c>
      <c r="Q77" s="88">
        <v>3.05</v>
      </c>
      <c r="R77" s="88"/>
      <c r="S77" s="88">
        <v>4.0999999999999996</v>
      </c>
      <c r="T77" s="90">
        <f t="shared" ref="T77:T84" si="8">PRODUCT(P77:S77)</f>
        <v>50.019999999999996</v>
      </c>
      <c r="U77" s="213"/>
    </row>
    <row r="78" spans="1:21" x14ac:dyDescent="0.7">
      <c r="A78" s="165"/>
      <c r="B78" s="105" t="s">
        <v>382</v>
      </c>
      <c r="C78" s="90" t="s">
        <v>13</v>
      </c>
      <c r="D78" s="90" t="s">
        <v>181</v>
      </c>
      <c r="E78" s="90">
        <v>-1</v>
      </c>
      <c r="F78" s="90">
        <v>1.3</v>
      </c>
      <c r="G78" s="90"/>
      <c r="H78" s="90">
        <v>1.18</v>
      </c>
      <c r="I78" s="90">
        <f>PRODUCT(E78:H78)</f>
        <v>-1.534</v>
      </c>
      <c r="J78" s="213"/>
      <c r="L78" s="165"/>
      <c r="M78" s="105" t="s">
        <v>393</v>
      </c>
      <c r="N78" s="88" t="s">
        <v>13</v>
      </c>
      <c r="O78" s="88" t="s">
        <v>173</v>
      </c>
      <c r="P78" s="88">
        <f>2+2</f>
        <v>4</v>
      </c>
      <c r="Q78" s="88">
        <v>3.05</v>
      </c>
      <c r="R78" s="88"/>
      <c r="S78" s="88">
        <v>4.0999999999999996</v>
      </c>
      <c r="T78" s="90">
        <f t="shared" si="8"/>
        <v>50.019999999999996</v>
      </c>
      <c r="U78" s="213"/>
    </row>
    <row r="79" spans="1:21" x14ac:dyDescent="0.7">
      <c r="A79" s="165"/>
      <c r="B79" s="105" t="s">
        <v>380</v>
      </c>
      <c r="C79" s="90" t="s">
        <v>13</v>
      </c>
      <c r="D79" s="90" t="s">
        <v>181</v>
      </c>
      <c r="E79" s="90">
        <v>-1</v>
      </c>
      <c r="F79" s="90">
        <v>1.04</v>
      </c>
      <c r="G79" s="90"/>
      <c r="H79" s="90">
        <v>2</v>
      </c>
      <c r="I79" s="90">
        <f>PRODUCT(E79:H79)</f>
        <v>-2.08</v>
      </c>
      <c r="J79" s="213"/>
      <c r="L79" s="165"/>
      <c r="M79" s="105" t="s">
        <v>381</v>
      </c>
      <c r="N79" s="88" t="s">
        <v>13</v>
      </c>
      <c r="O79" s="88" t="s">
        <v>173</v>
      </c>
      <c r="P79" s="88">
        <f>1+1</f>
        <v>2</v>
      </c>
      <c r="Q79" s="88">
        <v>2.4</v>
      </c>
      <c r="R79" s="88"/>
      <c r="S79" s="88">
        <v>1.2</v>
      </c>
      <c r="T79" s="90">
        <f t="shared" si="8"/>
        <v>5.76</v>
      </c>
      <c r="U79" s="213"/>
    </row>
    <row r="80" spans="1:21" x14ac:dyDescent="0.7">
      <c r="A80" s="165">
        <v>2</v>
      </c>
      <c r="B80" s="217" t="s">
        <v>297</v>
      </c>
      <c r="C80" s="90"/>
      <c r="D80" s="90"/>
      <c r="E80" s="90"/>
      <c r="F80" s="90"/>
      <c r="G80" s="90"/>
      <c r="H80" s="90"/>
      <c r="I80" s="90"/>
      <c r="J80" s="213"/>
      <c r="L80" s="165"/>
      <c r="M80" s="105" t="s">
        <v>381</v>
      </c>
      <c r="N80" s="88" t="s">
        <v>13</v>
      </c>
      <c r="O80" s="88" t="s">
        <v>173</v>
      </c>
      <c r="P80" s="88">
        <f>1+1</f>
        <v>2</v>
      </c>
      <c r="Q80" s="88">
        <v>1.5</v>
      </c>
      <c r="R80" s="88"/>
      <c r="S80" s="88">
        <v>1.2</v>
      </c>
      <c r="T80" s="90">
        <f t="shared" si="8"/>
        <v>3.5999999999999996</v>
      </c>
      <c r="U80" s="213"/>
    </row>
    <row r="81" spans="1:21" x14ac:dyDescent="0.7">
      <c r="A81" s="165"/>
      <c r="B81" s="105" t="s">
        <v>413</v>
      </c>
      <c r="C81" s="90" t="s">
        <v>13</v>
      </c>
      <c r="D81" s="90" t="s">
        <v>181</v>
      </c>
      <c r="E81" s="90">
        <v>2</v>
      </c>
      <c r="F81" s="90">
        <v>4.0549999999999997</v>
      </c>
      <c r="G81" s="90"/>
      <c r="H81" s="90">
        <v>2.7</v>
      </c>
      <c r="I81" s="90">
        <f>PRODUCT(E81:H81)</f>
        <v>21.896999999999998</v>
      </c>
      <c r="J81" s="213"/>
      <c r="L81" s="165"/>
      <c r="M81" s="105" t="s">
        <v>381</v>
      </c>
      <c r="N81" s="88" t="s">
        <v>13</v>
      </c>
      <c r="O81" s="88" t="s">
        <v>173</v>
      </c>
      <c r="P81" s="88">
        <f>1+1</f>
        <v>2</v>
      </c>
      <c r="Q81" s="88">
        <v>1.5</v>
      </c>
      <c r="R81" s="88"/>
      <c r="S81" s="88">
        <v>1.2</v>
      </c>
      <c r="T81" s="90">
        <f t="shared" si="8"/>
        <v>3.5999999999999996</v>
      </c>
      <c r="U81" s="213"/>
    </row>
    <row r="82" spans="1:21" x14ac:dyDescent="0.7">
      <c r="A82" s="165"/>
      <c r="B82" s="105" t="s">
        <v>414</v>
      </c>
      <c r="C82" s="90" t="s">
        <v>13</v>
      </c>
      <c r="D82" s="90" t="s">
        <v>181</v>
      </c>
      <c r="E82" s="90">
        <v>2</v>
      </c>
      <c r="F82" s="90">
        <v>3.8849999999999998</v>
      </c>
      <c r="G82" s="90"/>
      <c r="H82" s="90">
        <v>2.7</v>
      </c>
      <c r="I82" s="90">
        <f>PRODUCT(E82:H82)</f>
        <v>20.978999999999999</v>
      </c>
      <c r="J82" s="213"/>
      <c r="L82" s="165"/>
      <c r="M82" s="105" t="s">
        <v>380</v>
      </c>
      <c r="N82" s="88" t="s">
        <v>13</v>
      </c>
      <c r="O82" s="88" t="s">
        <v>173</v>
      </c>
      <c r="P82" s="88">
        <f>-(1+1)</f>
        <v>-2</v>
      </c>
      <c r="Q82" s="88">
        <v>0.98</v>
      </c>
      <c r="R82" s="88"/>
      <c r="S82" s="88">
        <v>2.0699999999999998</v>
      </c>
      <c r="T82" s="90">
        <f t="shared" si="8"/>
        <v>-4.0571999999999999</v>
      </c>
      <c r="U82" s="213"/>
    </row>
    <row r="83" spans="1:21" x14ac:dyDescent="0.7">
      <c r="A83" s="165"/>
      <c r="B83" s="105" t="s">
        <v>416</v>
      </c>
      <c r="C83" s="90" t="s">
        <v>13</v>
      </c>
      <c r="D83" s="90" t="s">
        <v>181</v>
      </c>
      <c r="E83" s="90">
        <v>1</v>
      </c>
      <c r="F83" s="90">
        <v>4.0549999999999997</v>
      </c>
      <c r="G83" s="90"/>
      <c r="H83" s="90">
        <v>3.8849999999999998</v>
      </c>
      <c r="I83" s="90">
        <f>PRODUCT(E83:H83)</f>
        <v>15.753674999999998</v>
      </c>
      <c r="J83" s="213"/>
      <c r="L83" s="165"/>
      <c r="M83" s="105" t="s">
        <v>401</v>
      </c>
      <c r="N83" s="88" t="s">
        <v>13</v>
      </c>
      <c r="O83" s="88" t="s">
        <v>173</v>
      </c>
      <c r="P83" s="88">
        <f>-(2+2)</f>
        <v>-4</v>
      </c>
      <c r="Q83" s="88">
        <v>1.165</v>
      </c>
      <c r="R83" s="88"/>
      <c r="S83" s="88">
        <v>1.05</v>
      </c>
      <c r="T83" s="90">
        <f t="shared" si="8"/>
        <v>-4.8930000000000007</v>
      </c>
      <c r="U83" s="213"/>
    </row>
    <row r="84" spans="1:21" x14ac:dyDescent="0.7">
      <c r="A84" s="165"/>
      <c r="B84" s="105" t="s">
        <v>382</v>
      </c>
      <c r="C84" s="90" t="s">
        <v>13</v>
      </c>
      <c r="D84" s="90" t="s">
        <v>181</v>
      </c>
      <c r="E84" s="90">
        <v>-1</v>
      </c>
      <c r="F84" s="90">
        <v>1.3</v>
      </c>
      <c r="G84" s="90"/>
      <c r="H84" s="90">
        <v>1.2050000000000001</v>
      </c>
      <c r="I84" s="90">
        <f>PRODUCT(E84:H84)</f>
        <v>-1.5665000000000002</v>
      </c>
      <c r="J84" s="213"/>
      <c r="L84" s="165"/>
      <c r="M84" s="105" t="s">
        <v>398</v>
      </c>
      <c r="N84" s="88" t="s">
        <v>13</v>
      </c>
      <c r="O84" s="88" t="s">
        <v>173</v>
      </c>
      <c r="P84" s="88">
        <f>-(1+1)</f>
        <v>-2</v>
      </c>
      <c r="Q84" s="88">
        <v>0.85</v>
      </c>
      <c r="R84" s="88"/>
      <c r="S84" s="88">
        <v>1.05</v>
      </c>
      <c r="T84" s="90">
        <f t="shared" si="8"/>
        <v>-1.7849999999999999</v>
      </c>
      <c r="U84" s="213"/>
    </row>
    <row r="85" spans="1:21" ht="34" x14ac:dyDescent="0.7">
      <c r="A85" s="165"/>
      <c r="B85" s="105" t="s">
        <v>380</v>
      </c>
      <c r="C85" s="90" t="s">
        <v>13</v>
      </c>
      <c r="D85" s="90" t="s">
        <v>181</v>
      </c>
      <c r="E85" s="90">
        <v>-1</v>
      </c>
      <c r="F85" s="90">
        <v>1.04</v>
      </c>
      <c r="G85" s="90"/>
      <c r="H85" s="90">
        <v>1.99</v>
      </c>
      <c r="I85" s="90">
        <f>PRODUCT(E85:H85)</f>
        <v>-2.0695999999999999</v>
      </c>
      <c r="J85" s="213"/>
      <c r="L85" s="165" t="s">
        <v>82</v>
      </c>
      <c r="M85" s="217" t="s">
        <v>417</v>
      </c>
      <c r="N85" s="88"/>
      <c r="O85" s="88"/>
      <c r="P85" s="88"/>
      <c r="Q85" s="88"/>
      <c r="R85" s="88"/>
      <c r="S85" s="88"/>
      <c r="T85" s="89"/>
      <c r="U85" s="213"/>
    </row>
    <row r="86" spans="1:21" x14ac:dyDescent="0.7">
      <c r="A86" s="165">
        <v>3</v>
      </c>
      <c r="B86" s="217" t="s">
        <v>298</v>
      </c>
      <c r="C86" s="90"/>
      <c r="D86" s="90"/>
      <c r="E86" s="90"/>
      <c r="F86" s="90"/>
      <c r="G86" s="90"/>
      <c r="H86" s="90"/>
      <c r="I86" s="90"/>
      <c r="J86" s="213"/>
      <c r="L86" s="165"/>
      <c r="M86" s="218" t="s">
        <v>375</v>
      </c>
      <c r="N86" s="88" t="s">
        <v>13</v>
      </c>
      <c r="O86" s="88" t="s">
        <v>181</v>
      </c>
      <c r="P86" s="88">
        <v>2</v>
      </c>
      <c r="Q86" s="88">
        <v>3.11</v>
      </c>
      <c r="R86" s="88"/>
      <c r="S86" s="88">
        <v>4.0599999999999996</v>
      </c>
      <c r="T86" s="90">
        <f t="shared" ref="T86:T91" si="9">PRODUCT(P86:S86)</f>
        <v>25.253199999999996</v>
      </c>
      <c r="U86" s="213"/>
    </row>
    <row r="87" spans="1:21" x14ac:dyDescent="0.7">
      <c r="A87" s="165"/>
      <c r="B87" s="105" t="s">
        <v>413</v>
      </c>
      <c r="C87" s="90" t="s">
        <v>13</v>
      </c>
      <c r="D87" s="90" t="s">
        <v>181</v>
      </c>
      <c r="E87" s="90">
        <v>2</v>
      </c>
      <c r="F87" s="90">
        <v>6.1</v>
      </c>
      <c r="G87" s="90"/>
      <c r="H87" s="90">
        <v>2.73</v>
      </c>
      <c r="I87" s="90">
        <f t="shared" ref="I87:I94" si="10">PRODUCT(E87:H87)</f>
        <v>33.305999999999997</v>
      </c>
      <c r="J87" s="213"/>
      <c r="L87" s="165"/>
      <c r="M87" s="105" t="s">
        <v>393</v>
      </c>
      <c r="N87" s="88" t="s">
        <v>13</v>
      </c>
      <c r="O87" s="88" t="s">
        <v>181</v>
      </c>
      <c r="P87" s="88">
        <v>2</v>
      </c>
      <c r="Q87" s="88">
        <v>4.08</v>
      </c>
      <c r="R87" s="88"/>
      <c r="S87" s="88">
        <v>4.0599999999999996</v>
      </c>
      <c r="T87" s="90">
        <f t="shared" si="9"/>
        <v>33.129599999999996</v>
      </c>
      <c r="U87" s="213"/>
    </row>
    <row r="88" spans="1:21" x14ac:dyDescent="0.7">
      <c r="A88" s="165"/>
      <c r="B88" s="105" t="s">
        <v>418</v>
      </c>
      <c r="C88" s="90" t="s">
        <v>13</v>
      </c>
      <c r="D88" s="90" t="s">
        <v>181</v>
      </c>
      <c r="E88" s="90">
        <v>1</v>
      </c>
      <c r="F88" s="90">
        <f>1.065+7.9+1.065</f>
        <v>10.029999999999999</v>
      </c>
      <c r="G88" s="90"/>
      <c r="H88" s="90">
        <v>0.85</v>
      </c>
      <c r="I88" s="90">
        <f t="shared" si="10"/>
        <v>8.5254999999999992</v>
      </c>
      <c r="J88" s="213"/>
      <c r="L88" s="165"/>
      <c r="M88" s="105" t="s">
        <v>381</v>
      </c>
      <c r="N88" s="88" t="s">
        <v>13</v>
      </c>
      <c r="O88" s="88" t="s">
        <v>181</v>
      </c>
      <c r="P88" s="88">
        <v>3</v>
      </c>
      <c r="Q88" s="88">
        <v>1.83</v>
      </c>
      <c r="R88" s="88"/>
      <c r="S88" s="88">
        <v>1.2</v>
      </c>
      <c r="T88" s="90">
        <f t="shared" si="9"/>
        <v>6.5880000000000001</v>
      </c>
      <c r="U88" s="213"/>
    </row>
    <row r="89" spans="1:21" x14ac:dyDescent="0.7">
      <c r="A89" s="165"/>
      <c r="B89" s="105" t="s">
        <v>419</v>
      </c>
      <c r="C89" s="90" t="s">
        <v>13</v>
      </c>
      <c r="D89" s="90" t="s">
        <v>181</v>
      </c>
      <c r="E89" s="90">
        <v>1</v>
      </c>
      <c r="F89" s="90">
        <v>7.83</v>
      </c>
      <c r="G89" s="90"/>
      <c r="H89" s="90">
        <v>2.73</v>
      </c>
      <c r="I89" s="90">
        <f t="shared" si="10"/>
        <v>21.375900000000001</v>
      </c>
      <c r="J89" s="213"/>
      <c r="L89" s="165"/>
      <c r="M89" s="105" t="s">
        <v>380</v>
      </c>
      <c r="N89" s="88" t="s">
        <v>13</v>
      </c>
      <c r="O89" s="88" t="s">
        <v>181</v>
      </c>
      <c r="P89" s="88">
        <v>-1</v>
      </c>
      <c r="Q89" s="88">
        <v>0.98499999999999999</v>
      </c>
      <c r="R89" s="88"/>
      <c r="S89" s="88">
        <v>2</v>
      </c>
      <c r="T89" s="90">
        <f t="shared" si="9"/>
        <v>-1.97</v>
      </c>
      <c r="U89" s="213"/>
    </row>
    <row r="90" spans="1:21" x14ac:dyDescent="0.7">
      <c r="A90" s="165"/>
      <c r="B90" s="105" t="s">
        <v>420</v>
      </c>
      <c r="C90" s="90" t="s">
        <v>13</v>
      </c>
      <c r="D90" s="90" t="s">
        <v>181</v>
      </c>
      <c r="E90" s="90">
        <v>2</v>
      </c>
      <c r="F90" s="90">
        <v>1.1599999999999999</v>
      </c>
      <c r="G90" s="90"/>
      <c r="H90" s="90">
        <v>2.48</v>
      </c>
      <c r="I90" s="90">
        <f t="shared" si="10"/>
        <v>5.7535999999999996</v>
      </c>
      <c r="J90" s="213"/>
      <c r="L90" s="165"/>
      <c r="M90" s="105" t="s">
        <v>421</v>
      </c>
      <c r="N90" s="88" t="s">
        <v>13</v>
      </c>
      <c r="O90" s="88" t="s">
        <v>181</v>
      </c>
      <c r="P90" s="88">
        <v>-1</v>
      </c>
      <c r="Q90" s="88">
        <v>1.1850000000000001</v>
      </c>
      <c r="R90" s="88"/>
      <c r="S90" s="88">
        <v>1.0149999999999999</v>
      </c>
      <c r="T90" s="90">
        <f t="shared" si="9"/>
        <v>-1.2027749999999999</v>
      </c>
      <c r="U90" s="213"/>
    </row>
    <row r="91" spans="1:21" x14ac:dyDescent="0.7">
      <c r="A91" s="165"/>
      <c r="B91" s="105" t="s">
        <v>422</v>
      </c>
      <c r="C91" s="90" t="s">
        <v>13</v>
      </c>
      <c r="D91" s="90" t="s">
        <v>181</v>
      </c>
      <c r="E91" s="90">
        <v>1</v>
      </c>
      <c r="F91" s="90">
        <f>3.7*0.28*2+0.28*3.745*2+5.6*0.28*2</f>
        <v>7.305200000000001</v>
      </c>
      <c r="G91" s="90"/>
      <c r="H91" s="90"/>
      <c r="I91" s="90">
        <f t="shared" si="10"/>
        <v>7.305200000000001</v>
      </c>
      <c r="J91" s="213"/>
      <c r="L91" s="165"/>
      <c r="M91" s="105" t="s">
        <v>398</v>
      </c>
      <c r="N91" s="88" t="s">
        <v>13</v>
      </c>
      <c r="O91" s="88" t="s">
        <v>181</v>
      </c>
      <c r="P91" s="88">
        <v>-1</v>
      </c>
      <c r="Q91" s="88">
        <v>1.175</v>
      </c>
      <c r="R91" s="88"/>
      <c r="S91" s="88">
        <v>1.03</v>
      </c>
      <c r="T91" s="90">
        <f t="shared" si="9"/>
        <v>-1.21025</v>
      </c>
      <c r="U91" s="213"/>
    </row>
    <row r="92" spans="1:21" x14ac:dyDescent="0.7">
      <c r="A92" s="165"/>
      <c r="B92" s="105" t="s">
        <v>416</v>
      </c>
      <c r="C92" s="90" t="s">
        <v>13</v>
      </c>
      <c r="D92" s="90" t="s">
        <v>181</v>
      </c>
      <c r="E92" s="90">
        <v>1</v>
      </c>
      <c r="F92" s="90">
        <f>7.83*6.1+1.2*8.38</f>
        <v>57.819000000000003</v>
      </c>
      <c r="G92" s="90"/>
      <c r="H92" s="90"/>
      <c r="I92" s="90">
        <f t="shared" si="10"/>
        <v>57.819000000000003</v>
      </c>
      <c r="J92" s="213"/>
      <c r="L92" s="165" t="s">
        <v>88</v>
      </c>
      <c r="M92" s="217" t="s">
        <v>423</v>
      </c>
      <c r="N92" s="88"/>
      <c r="O92" s="88"/>
      <c r="P92" s="88"/>
      <c r="Q92" s="88"/>
      <c r="R92" s="88"/>
      <c r="S92" s="88"/>
      <c r="T92" s="89"/>
      <c r="U92" s="213"/>
    </row>
    <row r="93" spans="1:21" x14ac:dyDescent="0.7">
      <c r="A93" s="165"/>
      <c r="B93" s="105" t="s">
        <v>382</v>
      </c>
      <c r="C93" s="90" t="s">
        <v>13</v>
      </c>
      <c r="D93" s="90" t="s">
        <v>181</v>
      </c>
      <c r="E93" s="90">
        <v>-1</v>
      </c>
      <c r="F93" s="90">
        <v>1.78</v>
      </c>
      <c r="G93" s="90"/>
      <c r="H93" s="90">
        <v>1.2</v>
      </c>
      <c r="I93" s="90">
        <f t="shared" si="10"/>
        <v>-2.1360000000000001</v>
      </c>
      <c r="J93" s="213"/>
      <c r="L93" s="165"/>
      <c r="M93" s="218" t="s">
        <v>375</v>
      </c>
      <c r="N93" s="88" t="s">
        <v>13</v>
      </c>
      <c r="O93" s="88" t="s">
        <v>173</v>
      </c>
      <c r="P93" s="88">
        <f>2+2</f>
        <v>4</v>
      </c>
      <c r="Q93" s="88">
        <v>5.0999999999999996</v>
      </c>
      <c r="R93" s="88"/>
      <c r="S93" s="88">
        <v>4.5</v>
      </c>
      <c r="T93" s="90">
        <f t="shared" ref="T93:T108" si="11">PRODUCT(P93:S93)</f>
        <v>91.8</v>
      </c>
      <c r="U93" s="213"/>
    </row>
    <row r="94" spans="1:21" x14ac:dyDescent="0.7">
      <c r="A94" s="165"/>
      <c r="B94" s="105" t="s">
        <v>380</v>
      </c>
      <c r="C94" s="90" t="s">
        <v>13</v>
      </c>
      <c r="D94" s="90" t="s">
        <v>181</v>
      </c>
      <c r="E94" s="90">
        <v>-1</v>
      </c>
      <c r="F94" s="90">
        <v>0.97499999999999998</v>
      </c>
      <c r="G94" s="90"/>
      <c r="H94" s="90">
        <v>2.08</v>
      </c>
      <c r="I94" s="90">
        <f t="shared" si="10"/>
        <v>-2.028</v>
      </c>
      <c r="J94" s="213"/>
      <c r="L94" s="165"/>
      <c r="M94" s="105" t="s">
        <v>376</v>
      </c>
      <c r="N94" s="88" t="s">
        <v>13</v>
      </c>
      <c r="O94" s="88" t="s">
        <v>173</v>
      </c>
      <c r="P94" s="88">
        <f>1+1</f>
        <v>2</v>
      </c>
      <c r="Q94" s="88">
        <v>16.2</v>
      </c>
      <c r="R94" s="88"/>
      <c r="S94" s="88">
        <v>4.5</v>
      </c>
      <c r="T94" s="90">
        <f t="shared" si="11"/>
        <v>145.79999999999998</v>
      </c>
      <c r="U94" s="213"/>
    </row>
    <row r="95" spans="1:21" x14ac:dyDescent="0.7">
      <c r="A95" s="165">
        <v>4</v>
      </c>
      <c r="B95" s="217" t="s">
        <v>305</v>
      </c>
      <c r="C95" s="90"/>
      <c r="D95" s="90"/>
      <c r="E95" s="90"/>
      <c r="F95" s="90"/>
      <c r="G95" s="90"/>
      <c r="H95" s="90"/>
      <c r="I95" s="90"/>
      <c r="J95" s="213"/>
      <c r="L95" s="165"/>
      <c r="M95" s="105" t="s">
        <v>424</v>
      </c>
      <c r="N95" s="88" t="s">
        <v>13</v>
      </c>
      <c r="O95" s="88" t="s">
        <v>173</v>
      </c>
      <c r="P95" s="88">
        <f>1+1</f>
        <v>2</v>
      </c>
      <c r="Q95" s="88">
        <v>16.2</v>
      </c>
      <c r="R95" s="88"/>
      <c r="S95" s="88">
        <v>4.5</v>
      </c>
      <c r="T95" s="90">
        <f t="shared" si="11"/>
        <v>145.79999999999998</v>
      </c>
      <c r="U95" s="213"/>
    </row>
    <row r="96" spans="1:21" x14ac:dyDescent="0.7">
      <c r="A96" s="165"/>
      <c r="B96" s="105" t="s">
        <v>413</v>
      </c>
      <c r="C96" s="90" t="s">
        <v>13</v>
      </c>
      <c r="D96" s="90" t="s">
        <v>181</v>
      </c>
      <c r="E96" s="90">
        <v>2</v>
      </c>
      <c r="F96" s="90">
        <v>4.01</v>
      </c>
      <c r="G96" s="90"/>
      <c r="H96" s="90">
        <v>2.72</v>
      </c>
      <c r="I96" s="90">
        <f t="shared" ref="I96:I101" si="12">PRODUCT(E96:H96)</f>
        <v>21.814399999999999</v>
      </c>
      <c r="J96" s="213"/>
      <c r="L96" s="165"/>
      <c r="M96" s="105" t="s">
        <v>425</v>
      </c>
      <c r="N96" s="88" t="s">
        <v>13</v>
      </c>
      <c r="O96" s="88" t="s">
        <v>173</v>
      </c>
      <c r="P96" s="88">
        <f>3+3</f>
        <v>6</v>
      </c>
      <c r="Q96" s="88">
        <v>2.2000000000000002</v>
      </c>
      <c r="R96" s="88"/>
      <c r="S96" s="88">
        <v>1</v>
      </c>
      <c r="T96" s="90">
        <f t="shared" si="11"/>
        <v>13.200000000000001</v>
      </c>
      <c r="U96" s="213"/>
    </row>
    <row r="97" spans="1:21" x14ac:dyDescent="0.7">
      <c r="A97" s="165"/>
      <c r="B97" s="105" t="s">
        <v>418</v>
      </c>
      <c r="C97" s="90" t="s">
        <v>13</v>
      </c>
      <c r="D97" s="90" t="s">
        <v>181</v>
      </c>
      <c r="E97" s="90">
        <v>2</v>
      </c>
      <c r="F97" s="90">
        <v>3.72</v>
      </c>
      <c r="G97" s="90"/>
      <c r="H97" s="90">
        <v>2.72</v>
      </c>
      <c r="I97" s="90">
        <f t="shared" si="12"/>
        <v>20.236800000000002</v>
      </c>
      <c r="J97" s="213"/>
      <c r="L97" s="165"/>
      <c r="M97" s="105" t="s">
        <v>426</v>
      </c>
      <c r="N97" s="88" t="s">
        <v>13</v>
      </c>
      <c r="O97" s="88" t="s">
        <v>173</v>
      </c>
      <c r="P97" s="88">
        <f>1+1</f>
        <v>2</v>
      </c>
      <c r="Q97" s="88">
        <v>1.5</v>
      </c>
      <c r="R97" s="88"/>
      <c r="S97" s="88">
        <v>1</v>
      </c>
      <c r="T97" s="90">
        <f t="shared" si="11"/>
        <v>3</v>
      </c>
      <c r="U97" s="213"/>
    </row>
    <row r="98" spans="1:21" x14ac:dyDescent="0.7">
      <c r="A98" s="165"/>
      <c r="B98" s="105" t="s">
        <v>416</v>
      </c>
      <c r="C98" s="90" t="s">
        <v>13</v>
      </c>
      <c r="D98" s="90" t="s">
        <v>181</v>
      </c>
      <c r="E98" s="90">
        <v>1</v>
      </c>
      <c r="F98" s="90">
        <v>4.01</v>
      </c>
      <c r="G98" s="90"/>
      <c r="H98" s="90">
        <v>3.72</v>
      </c>
      <c r="I98" s="90">
        <f t="shared" si="12"/>
        <v>14.917199999999999</v>
      </c>
      <c r="J98" s="213"/>
      <c r="L98" s="165"/>
      <c r="M98" s="105" t="s">
        <v>427</v>
      </c>
      <c r="N98" s="88" t="s">
        <v>13</v>
      </c>
      <c r="O98" s="88" t="s">
        <v>173</v>
      </c>
      <c r="P98" s="88">
        <f>1+1</f>
        <v>2</v>
      </c>
      <c r="Q98" s="88">
        <v>1.5</v>
      </c>
      <c r="R98" s="88"/>
      <c r="S98" s="88">
        <v>1</v>
      </c>
      <c r="T98" s="90">
        <f t="shared" si="11"/>
        <v>3</v>
      </c>
      <c r="U98" s="213"/>
    </row>
    <row r="99" spans="1:21" x14ac:dyDescent="0.7">
      <c r="A99" s="165"/>
      <c r="B99" s="105" t="s">
        <v>401</v>
      </c>
      <c r="C99" s="90" t="s">
        <v>13</v>
      </c>
      <c r="D99" s="90" t="s">
        <v>181</v>
      </c>
      <c r="E99" s="90">
        <v>-1</v>
      </c>
      <c r="F99" s="90">
        <v>1.7749999999999999</v>
      </c>
      <c r="G99" s="90"/>
      <c r="H99" s="90">
        <v>1.1599999999999999</v>
      </c>
      <c r="I99" s="90">
        <f t="shared" si="12"/>
        <v>-2.0589999999999997</v>
      </c>
      <c r="J99" s="213"/>
      <c r="L99" s="165"/>
      <c r="M99" s="105" t="s">
        <v>428</v>
      </c>
      <c r="N99" s="88" t="s">
        <v>13</v>
      </c>
      <c r="O99" s="88" t="s">
        <v>173</v>
      </c>
      <c r="P99" s="88">
        <f>5+5</f>
        <v>10</v>
      </c>
      <c r="Q99" s="88">
        <v>0.9</v>
      </c>
      <c r="R99" s="88"/>
      <c r="S99" s="88">
        <v>1</v>
      </c>
      <c r="T99" s="90">
        <f t="shared" si="11"/>
        <v>9</v>
      </c>
      <c r="U99" s="213"/>
    </row>
    <row r="100" spans="1:21" ht="34" x14ac:dyDescent="0.7">
      <c r="A100" s="165"/>
      <c r="B100" s="105" t="s">
        <v>398</v>
      </c>
      <c r="C100" s="90" t="s">
        <v>13</v>
      </c>
      <c r="D100" s="90" t="s">
        <v>181</v>
      </c>
      <c r="E100" s="90">
        <v>-1</v>
      </c>
      <c r="F100" s="90">
        <v>1.27</v>
      </c>
      <c r="G100" s="90"/>
      <c r="H100" s="90">
        <v>1.1950000000000001</v>
      </c>
      <c r="I100" s="90">
        <f t="shared" si="12"/>
        <v>-1.5176500000000002</v>
      </c>
      <c r="J100" s="213"/>
      <c r="L100" s="165"/>
      <c r="M100" s="105" t="s">
        <v>416</v>
      </c>
      <c r="N100" s="88" t="s">
        <v>13</v>
      </c>
      <c r="O100" s="88" t="s">
        <v>173</v>
      </c>
      <c r="P100" s="88">
        <f>1+1</f>
        <v>2</v>
      </c>
      <c r="Q100" s="88">
        <v>1.1599999999999999</v>
      </c>
      <c r="R100" s="88"/>
      <c r="S100" s="88">
        <v>1.2</v>
      </c>
      <c r="T100" s="90">
        <f t="shared" si="11"/>
        <v>2.7839999999999998</v>
      </c>
      <c r="U100" s="213"/>
    </row>
    <row r="101" spans="1:21" x14ac:dyDescent="0.7">
      <c r="A101" s="165"/>
      <c r="B101" s="105" t="s">
        <v>380</v>
      </c>
      <c r="C101" s="90" t="s">
        <v>13</v>
      </c>
      <c r="D101" s="90" t="s">
        <v>181</v>
      </c>
      <c r="E101" s="90">
        <v>-1</v>
      </c>
      <c r="F101" s="90">
        <v>0.995</v>
      </c>
      <c r="G101" s="90"/>
      <c r="H101" s="90">
        <v>2.0699999999999998</v>
      </c>
      <c r="I101" s="90">
        <f t="shared" si="12"/>
        <v>-2.05965</v>
      </c>
      <c r="J101" s="213"/>
      <c r="L101" s="165"/>
      <c r="M101" s="105" t="s">
        <v>429</v>
      </c>
      <c r="N101" s="88" t="s">
        <v>13</v>
      </c>
      <c r="O101" s="88" t="s">
        <v>173</v>
      </c>
      <c r="P101" s="88">
        <f>-(2+2)</f>
        <v>-4</v>
      </c>
      <c r="Q101" s="88">
        <v>1.1599999999999999</v>
      </c>
      <c r="R101" s="88"/>
      <c r="S101" s="88">
        <v>2.4900000000000002</v>
      </c>
      <c r="T101" s="90">
        <f t="shared" si="11"/>
        <v>-11.553599999999999</v>
      </c>
      <c r="U101" s="213"/>
    </row>
    <row r="102" spans="1:21" ht="34" x14ac:dyDescent="0.7">
      <c r="A102" s="165">
        <v>5</v>
      </c>
      <c r="B102" s="217" t="s">
        <v>306</v>
      </c>
      <c r="C102" s="90"/>
      <c r="D102" s="90"/>
      <c r="E102" s="90"/>
      <c r="F102" s="90"/>
      <c r="G102" s="90"/>
      <c r="H102" s="90"/>
      <c r="I102" s="90"/>
      <c r="J102" s="213"/>
      <c r="L102" s="165"/>
      <c r="M102" s="105" t="s">
        <v>430</v>
      </c>
      <c r="N102" s="88" t="s">
        <v>13</v>
      </c>
      <c r="O102" s="88" t="s">
        <v>173</v>
      </c>
      <c r="P102" s="88">
        <f>-(2+2)</f>
        <v>-4</v>
      </c>
      <c r="Q102" s="88">
        <v>1.8</v>
      </c>
      <c r="R102" s="88"/>
      <c r="S102" s="88">
        <v>0.64</v>
      </c>
      <c r="T102" s="90">
        <f t="shared" si="11"/>
        <v>-4.6080000000000005</v>
      </c>
      <c r="U102" s="213"/>
    </row>
    <row r="103" spans="1:21" ht="34" x14ac:dyDescent="0.7">
      <c r="A103" s="165"/>
      <c r="B103" s="105" t="s">
        <v>413</v>
      </c>
      <c r="C103" s="90" t="s">
        <v>13</v>
      </c>
      <c r="D103" s="90" t="s">
        <v>181</v>
      </c>
      <c r="E103" s="90">
        <v>2</v>
      </c>
      <c r="F103" s="90">
        <v>4.03</v>
      </c>
      <c r="G103" s="90"/>
      <c r="H103" s="90">
        <v>2.69</v>
      </c>
      <c r="I103" s="90">
        <f>PRODUCT(E103:H103)</f>
        <v>21.6814</v>
      </c>
      <c r="J103" s="213"/>
      <c r="L103" s="165"/>
      <c r="M103" s="105" t="s">
        <v>431</v>
      </c>
      <c r="N103" s="88" t="s">
        <v>13</v>
      </c>
      <c r="O103" s="88" t="s">
        <v>173</v>
      </c>
      <c r="P103" s="88">
        <f>-(1+1)</f>
        <v>-2</v>
      </c>
      <c r="Q103" s="88">
        <v>1.8</v>
      </c>
      <c r="R103" s="88"/>
      <c r="S103" s="88">
        <v>0.64</v>
      </c>
      <c r="T103" s="90">
        <f t="shared" si="11"/>
        <v>-2.3040000000000003</v>
      </c>
      <c r="U103" s="213"/>
    </row>
    <row r="104" spans="1:21" x14ac:dyDescent="0.7">
      <c r="A104" s="165"/>
      <c r="B104" s="105" t="s">
        <v>418</v>
      </c>
      <c r="C104" s="90" t="s">
        <v>13</v>
      </c>
      <c r="D104" s="90" t="s">
        <v>181</v>
      </c>
      <c r="E104" s="90">
        <v>2</v>
      </c>
      <c r="F104" s="90">
        <v>3.7250000000000001</v>
      </c>
      <c r="G104" s="90"/>
      <c r="H104" s="90">
        <v>2.69</v>
      </c>
      <c r="I104" s="90">
        <f>PRODUCT(E104:H104)</f>
        <v>20.040500000000002</v>
      </c>
      <c r="J104" s="213"/>
      <c r="L104" s="165"/>
      <c r="M104" s="105" t="s">
        <v>432</v>
      </c>
      <c r="N104" s="88" t="s">
        <v>13</v>
      </c>
      <c r="O104" s="88" t="s">
        <v>173</v>
      </c>
      <c r="P104" s="88">
        <f>-(5+5)</f>
        <v>-10</v>
      </c>
      <c r="Q104" s="88">
        <v>0.64</v>
      </c>
      <c r="R104" s="88"/>
      <c r="S104" s="88">
        <v>0.61499999999999999</v>
      </c>
      <c r="T104" s="90">
        <f t="shared" si="11"/>
        <v>-3.9359999999999999</v>
      </c>
      <c r="U104" s="213"/>
    </row>
    <row r="105" spans="1:21" ht="34" x14ac:dyDescent="0.7">
      <c r="A105" s="165"/>
      <c r="B105" s="105" t="s">
        <v>416</v>
      </c>
      <c r="C105" s="90" t="s">
        <v>13</v>
      </c>
      <c r="D105" s="90" t="s">
        <v>181</v>
      </c>
      <c r="E105" s="90">
        <v>1</v>
      </c>
      <c r="F105" s="90">
        <v>4.03</v>
      </c>
      <c r="G105" s="90"/>
      <c r="H105" s="90">
        <v>3.7250000000000001</v>
      </c>
      <c r="I105" s="90">
        <f>PRODUCT(E105:H105)</f>
        <v>15.011750000000001</v>
      </c>
      <c r="J105" s="213"/>
      <c r="L105" s="165"/>
      <c r="M105" s="105" t="s">
        <v>433</v>
      </c>
      <c r="N105" s="88" t="s">
        <v>13</v>
      </c>
      <c r="O105" s="88" t="s">
        <v>173</v>
      </c>
      <c r="P105" s="88">
        <f>-(2+2)</f>
        <v>-4</v>
      </c>
      <c r="Q105" s="88">
        <v>1.1599999999999999</v>
      </c>
      <c r="R105" s="88"/>
      <c r="S105" s="88">
        <v>2.85</v>
      </c>
      <c r="T105" s="90">
        <f t="shared" si="11"/>
        <v>-13.224</v>
      </c>
      <c r="U105" s="213"/>
    </row>
    <row r="106" spans="1:21" x14ac:dyDescent="0.7">
      <c r="A106" s="165"/>
      <c r="B106" s="105" t="s">
        <v>382</v>
      </c>
      <c r="C106" s="90" t="s">
        <v>13</v>
      </c>
      <c r="D106" s="90" t="s">
        <v>181</v>
      </c>
      <c r="E106" s="90">
        <v>-1</v>
      </c>
      <c r="F106" s="90">
        <v>1.2749999999999999</v>
      </c>
      <c r="G106" s="90"/>
      <c r="H106" s="90">
        <v>1.1950000000000001</v>
      </c>
      <c r="I106" s="90">
        <f>PRODUCT(E106:H106)</f>
        <v>-1.523625</v>
      </c>
      <c r="J106" s="213"/>
      <c r="L106" s="165"/>
      <c r="M106" s="105" t="s">
        <v>434</v>
      </c>
      <c r="N106" s="88" t="s">
        <v>13</v>
      </c>
      <c r="O106" s="88" t="s">
        <v>173</v>
      </c>
      <c r="P106" s="88">
        <f>-(2+2)</f>
        <v>-4</v>
      </c>
      <c r="Q106" s="88">
        <v>0.99</v>
      </c>
      <c r="R106" s="88"/>
      <c r="S106" s="88">
        <v>2.4900000000000002</v>
      </c>
      <c r="T106" s="90">
        <f t="shared" si="11"/>
        <v>-9.8604000000000003</v>
      </c>
      <c r="U106" s="213"/>
    </row>
    <row r="107" spans="1:21" x14ac:dyDescent="0.7">
      <c r="A107" s="165"/>
      <c r="B107" s="105" t="s">
        <v>380</v>
      </c>
      <c r="C107" s="90" t="s">
        <v>13</v>
      </c>
      <c r="D107" s="90" t="s">
        <v>181</v>
      </c>
      <c r="E107" s="90">
        <v>-1</v>
      </c>
      <c r="F107" s="90">
        <v>1.04</v>
      </c>
      <c r="G107" s="90"/>
      <c r="H107" s="90">
        <v>2.0099999999999998</v>
      </c>
      <c r="I107" s="90">
        <f>PRODUCT(E107:H107)</f>
        <v>-2.0903999999999998</v>
      </c>
      <c r="J107" s="213"/>
      <c r="L107" s="165"/>
      <c r="M107" s="105" t="s">
        <v>398</v>
      </c>
      <c r="N107" s="88" t="s">
        <v>13</v>
      </c>
      <c r="O107" s="88" t="s">
        <v>173</v>
      </c>
      <c r="P107" s="88">
        <f>-(2+2)</f>
        <v>-4</v>
      </c>
      <c r="Q107" s="88">
        <v>1.17</v>
      </c>
      <c r="R107" s="88"/>
      <c r="S107" s="88">
        <v>1.1200000000000001</v>
      </c>
      <c r="T107" s="90">
        <f t="shared" si="11"/>
        <v>-5.2416</v>
      </c>
      <c r="U107" s="213"/>
    </row>
    <row r="108" spans="1:21" x14ac:dyDescent="0.7">
      <c r="A108" s="165">
        <v>6</v>
      </c>
      <c r="B108" s="217" t="s">
        <v>307</v>
      </c>
      <c r="C108" s="90"/>
      <c r="D108" s="90"/>
      <c r="E108" s="90"/>
      <c r="F108" s="90"/>
      <c r="G108" s="90"/>
      <c r="H108" s="90"/>
      <c r="I108" s="90">
        <f t="shared" ref="I108:I136" si="13">PRODUCT(E108:H108)</f>
        <v>0</v>
      </c>
      <c r="J108" s="213"/>
      <c r="L108" s="165"/>
      <c r="M108" s="105" t="s">
        <v>435</v>
      </c>
      <c r="N108" s="88" t="s">
        <v>13</v>
      </c>
      <c r="O108" s="88" t="s">
        <v>173</v>
      </c>
      <c r="P108" s="88">
        <f>-(1+1)</f>
        <v>-2</v>
      </c>
      <c r="Q108" s="88">
        <v>0.6</v>
      </c>
      <c r="R108" s="88"/>
      <c r="S108" s="88">
        <v>2.2000000000000002</v>
      </c>
      <c r="T108" s="90">
        <f t="shared" si="11"/>
        <v>-2.64</v>
      </c>
      <c r="U108" s="213"/>
    </row>
    <row r="109" spans="1:21" x14ac:dyDescent="0.7">
      <c r="A109" s="165"/>
      <c r="B109" s="105" t="s">
        <v>413</v>
      </c>
      <c r="C109" s="90" t="s">
        <v>13</v>
      </c>
      <c r="D109" s="90" t="s">
        <v>181</v>
      </c>
      <c r="E109" s="90">
        <v>2</v>
      </c>
      <c r="F109" s="90">
        <v>5.73</v>
      </c>
      <c r="G109" s="90"/>
      <c r="H109" s="90">
        <v>2.72</v>
      </c>
      <c r="I109" s="90">
        <f t="shared" si="13"/>
        <v>31.171200000000006</v>
      </c>
      <c r="J109" s="213"/>
      <c r="L109" s="165" t="s">
        <v>105</v>
      </c>
      <c r="M109" s="217" t="s">
        <v>436</v>
      </c>
      <c r="N109" s="89"/>
      <c r="O109" s="89"/>
      <c r="P109" s="89"/>
      <c r="Q109" s="89"/>
      <c r="R109" s="89"/>
      <c r="S109" s="89"/>
      <c r="T109" s="89"/>
      <c r="U109" s="213"/>
    </row>
    <row r="110" spans="1:21" x14ac:dyDescent="0.7">
      <c r="A110" s="165"/>
      <c r="B110" s="105" t="s">
        <v>414</v>
      </c>
      <c r="C110" s="90" t="s">
        <v>13</v>
      </c>
      <c r="D110" s="90" t="s">
        <v>181</v>
      </c>
      <c r="E110" s="90">
        <v>2</v>
      </c>
      <c r="F110" s="90">
        <v>3.85</v>
      </c>
      <c r="G110" s="90"/>
      <c r="H110" s="90">
        <v>2.72</v>
      </c>
      <c r="I110" s="90">
        <f t="shared" si="13"/>
        <v>20.944000000000003</v>
      </c>
      <c r="J110" s="213"/>
      <c r="L110" s="165"/>
      <c r="M110" s="105" t="s">
        <v>437</v>
      </c>
      <c r="N110" s="88" t="s">
        <v>13</v>
      </c>
      <c r="O110" s="90" t="s">
        <v>181</v>
      </c>
      <c r="P110" s="90">
        <v>4</v>
      </c>
      <c r="Q110" s="90">
        <v>2.0049999999999999</v>
      </c>
      <c r="R110" s="90"/>
      <c r="S110" s="90">
        <v>1.35</v>
      </c>
      <c r="T110" s="90">
        <f>PRODUCT(P110:S110)</f>
        <v>10.827</v>
      </c>
      <c r="U110" s="213"/>
    </row>
    <row r="111" spans="1:21" x14ac:dyDescent="0.7">
      <c r="A111" s="165"/>
      <c r="B111" s="105" t="s">
        <v>416</v>
      </c>
      <c r="C111" s="90" t="s">
        <v>13</v>
      </c>
      <c r="D111" s="90" t="s">
        <v>181</v>
      </c>
      <c r="E111" s="90">
        <v>1</v>
      </c>
      <c r="F111" s="90">
        <v>5.73</v>
      </c>
      <c r="G111" s="90"/>
      <c r="H111" s="90">
        <v>3.85</v>
      </c>
      <c r="I111" s="90">
        <f t="shared" si="13"/>
        <v>22.060500000000001</v>
      </c>
      <c r="J111" s="213"/>
      <c r="L111" s="165" t="s">
        <v>438</v>
      </c>
      <c r="M111" s="217" t="s">
        <v>439</v>
      </c>
      <c r="N111" s="89"/>
      <c r="O111" s="89"/>
      <c r="P111" s="89"/>
      <c r="Q111" s="89"/>
      <c r="R111" s="89"/>
      <c r="S111" s="89"/>
      <c r="T111" s="89"/>
      <c r="U111" s="213"/>
    </row>
    <row r="112" spans="1:21" ht="34" x14ac:dyDescent="0.7">
      <c r="A112" s="165"/>
      <c r="B112" s="105" t="s">
        <v>398</v>
      </c>
      <c r="C112" s="90" t="s">
        <v>13</v>
      </c>
      <c r="D112" s="90" t="s">
        <v>181</v>
      </c>
      <c r="E112" s="90">
        <v>-1</v>
      </c>
      <c r="F112" s="90">
        <v>1.49</v>
      </c>
      <c r="G112" s="90"/>
      <c r="H112" s="90">
        <v>1.175</v>
      </c>
      <c r="I112" s="90">
        <f t="shared" si="13"/>
        <v>-1.75075</v>
      </c>
      <c r="J112" s="213"/>
      <c r="L112" s="165"/>
      <c r="M112" s="105" t="s">
        <v>437</v>
      </c>
      <c r="N112" s="88" t="s">
        <v>13</v>
      </c>
      <c r="O112" s="90" t="s">
        <v>181</v>
      </c>
      <c r="P112" s="90">
        <v>2</v>
      </c>
      <c r="Q112" s="90">
        <v>4.335</v>
      </c>
      <c r="R112" s="90"/>
      <c r="S112" s="90">
        <v>0.79</v>
      </c>
      <c r="T112" s="90">
        <f>PRODUCT(P112:S112)</f>
        <v>6.8493000000000004</v>
      </c>
      <c r="U112" s="213"/>
    </row>
    <row r="113" spans="1:21" x14ac:dyDescent="0.7">
      <c r="A113" s="165"/>
      <c r="B113" s="105" t="s">
        <v>401</v>
      </c>
      <c r="C113" s="90" t="s">
        <v>13</v>
      </c>
      <c r="D113" s="90" t="s">
        <v>181</v>
      </c>
      <c r="E113" s="90">
        <v>-1</v>
      </c>
      <c r="F113" s="90">
        <v>1.4850000000000001</v>
      </c>
      <c r="G113" s="90"/>
      <c r="H113" s="90">
        <v>1.2</v>
      </c>
      <c r="I113" s="90">
        <f t="shared" si="13"/>
        <v>-1.782</v>
      </c>
      <c r="J113" s="213"/>
      <c r="L113" s="165"/>
      <c r="M113" s="105" t="s">
        <v>437</v>
      </c>
      <c r="N113" s="88" t="s">
        <v>13</v>
      </c>
      <c r="O113" s="90" t="s">
        <v>181</v>
      </c>
      <c r="P113" s="90">
        <v>2</v>
      </c>
      <c r="Q113" s="90">
        <v>2.38</v>
      </c>
      <c r="R113" s="90"/>
      <c r="S113" s="90">
        <v>0.79</v>
      </c>
      <c r="T113" s="90">
        <f>PRODUCT(P113:S113)</f>
        <v>3.7604000000000002</v>
      </c>
      <c r="U113" s="213"/>
    </row>
    <row r="114" spans="1:21" ht="17.5" thickBot="1" x14ac:dyDescent="0.75">
      <c r="A114" s="165"/>
      <c r="B114" s="105" t="s">
        <v>380</v>
      </c>
      <c r="C114" s="90" t="s">
        <v>13</v>
      </c>
      <c r="D114" s="90" t="s">
        <v>181</v>
      </c>
      <c r="E114" s="90">
        <v>-1</v>
      </c>
      <c r="F114" s="90">
        <v>1.04</v>
      </c>
      <c r="G114" s="90"/>
      <c r="H114" s="90">
        <v>2.08</v>
      </c>
      <c r="I114" s="90">
        <f t="shared" si="13"/>
        <v>-2.1632000000000002</v>
      </c>
      <c r="J114" s="213"/>
      <c r="L114" s="383" t="s">
        <v>440</v>
      </c>
      <c r="M114" s="384"/>
      <c r="N114" s="384"/>
      <c r="O114" s="384"/>
      <c r="P114" s="384"/>
      <c r="Q114" s="384"/>
      <c r="R114" s="384"/>
      <c r="S114" s="384"/>
      <c r="T114" s="222">
        <f>SUM(T5:T108)</f>
        <v>1337.8710000000001</v>
      </c>
      <c r="U114" s="216"/>
    </row>
    <row r="115" spans="1:21" x14ac:dyDescent="0.7">
      <c r="A115" s="165">
        <v>7</v>
      </c>
      <c r="B115" s="217" t="s">
        <v>441</v>
      </c>
      <c r="C115" s="90"/>
      <c r="D115" s="90"/>
      <c r="E115" s="90"/>
      <c r="F115" s="90"/>
      <c r="G115" s="90"/>
      <c r="H115" s="90"/>
      <c r="I115" s="90">
        <f t="shared" si="13"/>
        <v>0</v>
      </c>
      <c r="J115" s="213"/>
    </row>
    <row r="116" spans="1:21" x14ac:dyDescent="0.7">
      <c r="A116" s="165"/>
      <c r="B116" s="105" t="s">
        <v>413</v>
      </c>
      <c r="C116" s="90" t="s">
        <v>13</v>
      </c>
      <c r="D116" s="90" t="s">
        <v>181</v>
      </c>
      <c r="E116" s="90">
        <v>2</v>
      </c>
      <c r="F116" s="90">
        <v>2.63</v>
      </c>
      <c r="G116" s="90"/>
      <c r="H116" s="90">
        <v>2.7</v>
      </c>
      <c r="I116" s="90">
        <f t="shared" si="13"/>
        <v>14.202</v>
      </c>
      <c r="J116" s="213"/>
    </row>
    <row r="117" spans="1:21" x14ac:dyDescent="0.7">
      <c r="A117" s="165"/>
      <c r="B117" s="105" t="s">
        <v>414</v>
      </c>
      <c r="C117" s="90" t="s">
        <v>13</v>
      </c>
      <c r="D117" s="90" t="s">
        <v>181</v>
      </c>
      <c r="E117" s="90">
        <v>2</v>
      </c>
      <c r="F117" s="90">
        <v>1.5</v>
      </c>
      <c r="G117" s="90"/>
      <c r="H117" s="90">
        <v>2.7</v>
      </c>
      <c r="I117" s="90">
        <f t="shared" si="13"/>
        <v>8.1000000000000014</v>
      </c>
      <c r="J117" s="213"/>
    </row>
    <row r="118" spans="1:21" x14ac:dyDescent="0.7">
      <c r="A118" s="165"/>
      <c r="B118" s="105" t="s">
        <v>416</v>
      </c>
      <c r="C118" s="90" t="s">
        <v>13</v>
      </c>
      <c r="D118" s="90" t="s">
        <v>181</v>
      </c>
      <c r="E118" s="90">
        <v>1</v>
      </c>
      <c r="F118" s="90">
        <v>2.63</v>
      </c>
      <c r="G118" s="90"/>
      <c r="H118" s="90">
        <v>1.5</v>
      </c>
      <c r="I118" s="90">
        <f t="shared" si="13"/>
        <v>3.9449999999999998</v>
      </c>
      <c r="J118" s="213"/>
    </row>
    <row r="119" spans="1:21" x14ac:dyDescent="0.7">
      <c r="A119" s="165"/>
      <c r="B119" s="105" t="s">
        <v>380</v>
      </c>
      <c r="C119" s="90" t="s">
        <v>13</v>
      </c>
      <c r="D119" s="90" t="s">
        <v>181</v>
      </c>
      <c r="E119" s="90">
        <v>-1</v>
      </c>
      <c r="F119" s="90">
        <v>0.9</v>
      </c>
      <c r="G119" s="90"/>
      <c r="H119" s="90">
        <v>2.08</v>
      </c>
      <c r="I119" s="90">
        <f t="shared" si="13"/>
        <v>-1.8720000000000001</v>
      </c>
      <c r="J119" s="213"/>
    </row>
    <row r="120" spans="1:21" x14ac:dyDescent="0.7">
      <c r="A120" s="165">
        <v>8</v>
      </c>
      <c r="B120" s="217" t="s">
        <v>442</v>
      </c>
      <c r="C120" s="90"/>
      <c r="D120" s="90"/>
      <c r="E120" s="90"/>
      <c r="F120" s="90"/>
      <c r="G120" s="90"/>
      <c r="H120" s="90"/>
      <c r="I120" s="90">
        <f t="shared" si="13"/>
        <v>0</v>
      </c>
      <c r="J120" s="213"/>
    </row>
    <row r="121" spans="1:21" x14ac:dyDescent="0.7">
      <c r="A121" s="165"/>
      <c r="B121" s="105" t="s">
        <v>413</v>
      </c>
      <c r="C121" s="90" t="s">
        <v>13</v>
      </c>
      <c r="D121" s="90" t="s">
        <v>181</v>
      </c>
      <c r="E121" s="90">
        <v>2</v>
      </c>
      <c r="F121" s="90">
        <v>2.63</v>
      </c>
      <c r="G121" s="90"/>
      <c r="H121" s="90">
        <v>2.7</v>
      </c>
      <c r="I121" s="90">
        <f>PRODUCT(E121:H121)</f>
        <v>14.202</v>
      </c>
      <c r="J121" s="213"/>
    </row>
    <row r="122" spans="1:21" x14ac:dyDescent="0.7">
      <c r="A122" s="165"/>
      <c r="B122" s="105" t="s">
        <v>414</v>
      </c>
      <c r="C122" s="90" t="s">
        <v>13</v>
      </c>
      <c r="D122" s="90" t="s">
        <v>181</v>
      </c>
      <c r="E122" s="90">
        <v>2</v>
      </c>
      <c r="F122" s="90">
        <v>1.5</v>
      </c>
      <c r="G122" s="90"/>
      <c r="H122" s="90">
        <v>2.7</v>
      </c>
      <c r="I122" s="90">
        <f>PRODUCT(E122:H122)</f>
        <v>8.1000000000000014</v>
      </c>
      <c r="J122" s="213"/>
    </row>
    <row r="123" spans="1:21" x14ac:dyDescent="0.7">
      <c r="A123" s="165"/>
      <c r="B123" s="105" t="s">
        <v>416</v>
      </c>
      <c r="C123" s="90" t="s">
        <v>13</v>
      </c>
      <c r="D123" s="90" t="s">
        <v>181</v>
      </c>
      <c r="E123" s="90">
        <v>1</v>
      </c>
      <c r="F123" s="90">
        <v>2.63</v>
      </c>
      <c r="G123" s="90"/>
      <c r="H123" s="90">
        <v>1.5</v>
      </c>
      <c r="I123" s="90">
        <f>PRODUCT(E123:H123)</f>
        <v>3.9449999999999998</v>
      </c>
      <c r="J123" s="213"/>
    </row>
    <row r="124" spans="1:21" x14ac:dyDescent="0.7">
      <c r="A124" s="165"/>
      <c r="B124" s="105" t="s">
        <v>380</v>
      </c>
      <c r="C124" s="90" t="s">
        <v>13</v>
      </c>
      <c r="D124" s="90" t="s">
        <v>181</v>
      </c>
      <c r="E124" s="90">
        <v>-1</v>
      </c>
      <c r="F124" s="90">
        <v>0.9</v>
      </c>
      <c r="G124" s="90"/>
      <c r="H124" s="90">
        <v>2.08</v>
      </c>
      <c r="I124" s="90">
        <f>PRODUCT(E124:H124)</f>
        <v>-1.8720000000000001</v>
      </c>
      <c r="J124" s="213"/>
    </row>
    <row r="125" spans="1:21" x14ac:dyDescent="0.7">
      <c r="A125" s="165">
        <v>9</v>
      </c>
      <c r="B125" s="217" t="s">
        <v>388</v>
      </c>
      <c r="C125" s="90"/>
      <c r="D125" s="90"/>
      <c r="E125" s="90"/>
      <c r="F125" s="90"/>
      <c r="G125" s="90"/>
      <c r="H125" s="90"/>
      <c r="I125" s="90">
        <f t="shared" si="13"/>
        <v>0</v>
      </c>
      <c r="J125" s="213"/>
    </row>
    <row r="126" spans="1:21" x14ac:dyDescent="0.7">
      <c r="A126" s="165"/>
      <c r="B126" s="105" t="s">
        <v>418</v>
      </c>
      <c r="C126" s="90" t="s">
        <v>13</v>
      </c>
      <c r="D126" s="90" t="s">
        <v>181</v>
      </c>
      <c r="E126" s="90">
        <v>1</v>
      </c>
      <c r="F126" s="90">
        <v>9.35</v>
      </c>
      <c r="G126" s="90"/>
      <c r="H126" s="90">
        <v>2.7</v>
      </c>
      <c r="I126" s="90">
        <f t="shared" si="13"/>
        <v>25.245000000000001</v>
      </c>
      <c r="J126" s="213"/>
    </row>
    <row r="127" spans="1:21" x14ac:dyDescent="0.7">
      <c r="A127" s="165"/>
      <c r="B127" s="105" t="s">
        <v>413</v>
      </c>
      <c r="C127" s="90" t="s">
        <v>13</v>
      </c>
      <c r="D127" s="90" t="s">
        <v>181</v>
      </c>
      <c r="E127" s="90">
        <v>2</v>
      </c>
      <c r="F127" s="90">
        <v>1.49</v>
      </c>
      <c r="G127" s="90"/>
      <c r="H127" s="90">
        <v>2.7</v>
      </c>
      <c r="I127" s="90">
        <f t="shared" si="13"/>
        <v>8.0460000000000012</v>
      </c>
      <c r="J127" s="213"/>
    </row>
    <row r="128" spans="1:21" x14ac:dyDescent="0.7">
      <c r="A128" s="165"/>
      <c r="B128" s="105" t="s">
        <v>419</v>
      </c>
      <c r="C128" s="90" t="s">
        <v>13</v>
      </c>
      <c r="D128" s="90" t="s">
        <v>181</v>
      </c>
      <c r="E128" s="90">
        <v>1</v>
      </c>
      <c r="F128" s="90">
        <f>5.26+1.28</f>
        <v>6.54</v>
      </c>
      <c r="G128" s="90"/>
      <c r="H128" s="90">
        <v>2.7</v>
      </c>
      <c r="I128" s="90">
        <f t="shared" si="13"/>
        <v>17.658000000000001</v>
      </c>
      <c r="J128" s="213"/>
    </row>
    <row r="129" spans="1:10" x14ac:dyDescent="0.7">
      <c r="A129" s="165"/>
      <c r="B129" s="105" t="s">
        <v>416</v>
      </c>
      <c r="C129" s="90" t="s">
        <v>13</v>
      </c>
      <c r="D129" s="90" t="s">
        <v>181</v>
      </c>
      <c r="E129" s="90">
        <v>1</v>
      </c>
      <c r="F129" s="90">
        <v>9.35</v>
      </c>
      <c r="G129" s="90"/>
      <c r="H129" s="90">
        <v>1.49</v>
      </c>
      <c r="I129" s="90">
        <f t="shared" si="13"/>
        <v>13.9315</v>
      </c>
      <c r="J129" s="213"/>
    </row>
    <row r="130" spans="1:10" x14ac:dyDescent="0.7">
      <c r="A130" s="165"/>
      <c r="B130" s="105" t="s">
        <v>422</v>
      </c>
      <c r="C130" s="90" t="s">
        <v>13</v>
      </c>
      <c r="D130" s="90" t="s">
        <v>181</v>
      </c>
      <c r="E130" s="90">
        <v>1</v>
      </c>
      <c r="F130" s="90">
        <v>2.77</v>
      </c>
      <c r="G130" s="90"/>
      <c r="H130" s="90">
        <v>0.56000000000000005</v>
      </c>
      <c r="I130" s="90">
        <f t="shared" si="13"/>
        <v>1.5512000000000001</v>
      </c>
      <c r="J130" s="213"/>
    </row>
    <row r="131" spans="1:10" x14ac:dyDescent="0.7">
      <c r="A131" s="165"/>
      <c r="B131" s="105" t="s">
        <v>422</v>
      </c>
      <c r="C131" s="90" t="s">
        <v>13</v>
      </c>
      <c r="D131" s="90" t="s">
        <v>181</v>
      </c>
      <c r="E131" s="90">
        <v>3</v>
      </c>
      <c r="F131" s="90">
        <v>1.49</v>
      </c>
      <c r="G131" s="90"/>
      <c r="H131" s="90">
        <v>0.56000000000000005</v>
      </c>
      <c r="I131" s="90">
        <f t="shared" si="13"/>
        <v>2.5032000000000001</v>
      </c>
      <c r="J131" s="213"/>
    </row>
    <row r="132" spans="1:10" x14ac:dyDescent="0.7">
      <c r="A132" s="165">
        <v>10</v>
      </c>
      <c r="B132" s="217" t="s">
        <v>443</v>
      </c>
      <c r="C132" s="90"/>
      <c r="D132" s="90"/>
      <c r="E132" s="90"/>
      <c r="F132" s="90"/>
      <c r="G132" s="90"/>
      <c r="H132" s="90"/>
      <c r="I132" s="90"/>
      <c r="J132" s="213"/>
    </row>
    <row r="133" spans="1:10" x14ac:dyDescent="0.7">
      <c r="A133" s="165"/>
      <c r="B133" s="105" t="s">
        <v>418</v>
      </c>
      <c r="C133" s="90" t="s">
        <v>13</v>
      </c>
      <c r="D133" s="90" t="s">
        <v>181</v>
      </c>
      <c r="E133" s="90">
        <v>1</v>
      </c>
      <c r="F133" s="90">
        <v>2.76</v>
      </c>
      <c r="G133" s="90"/>
      <c r="H133" s="90">
        <f>2.96+2.98-0.125</f>
        <v>5.8149999999999995</v>
      </c>
      <c r="I133" s="90">
        <f t="shared" si="13"/>
        <v>16.049399999999999</v>
      </c>
      <c r="J133" s="213"/>
    </row>
    <row r="134" spans="1:10" x14ac:dyDescent="0.7">
      <c r="A134" s="165"/>
      <c r="B134" s="105" t="s">
        <v>413</v>
      </c>
      <c r="C134" s="90" t="s">
        <v>13</v>
      </c>
      <c r="D134" s="90" t="s">
        <v>181</v>
      </c>
      <c r="E134" s="90">
        <v>2</v>
      </c>
      <c r="F134" s="90">
        <v>5.97</v>
      </c>
      <c r="G134" s="90"/>
      <c r="H134" s="90">
        <f>2.96+2.98</f>
        <v>5.9399999999999995</v>
      </c>
      <c r="I134" s="90">
        <f t="shared" si="13"/>
        <v>70.923599999999993</v>
      </c>
      <c r="J134" s="213"/>
    </row>
    <row r="135" spans="1:10" x14ac:dyDescent="0.7">
      <c r="A135" s="165"/>
      <c r="B135" s="105" t="s">
        <v>416</v>
      </c>
      <c r="C135" s="90" t="s">
        <v>13</v>
      </c>
      <c r="D135" s="90" t="s">
        <v>181</v>
      </c>
      <c r="E135" s="90">
        <v>2</v>
      </c>
      <c r="F135" s="90">
        <v>5.97</v>
      </c>
      <c r="G135" s="90"/>
      <c r="H135" s="90">
        <v>2.76</v>
      </c>
      <c r="I135" s="90">
        <f t="shared" si="13"/>
        <v>32.954399999999993</v>
      </c>
      <c r="J135" s="213"/>
    </row>
    <row r="136" spans="1:10" x14ac:dyDescent="0.7">
      <c r="A136" s="165"/>
      <c r="B136" s="105" t="s">
        <v>382</v>
      </c>
      <c r="C136" s="90" t="s">
        <v>13</v>
      </c>
      <c r="D136" s="90" t="s">
        <v>181</v>
      </c>
      <c r="E136" s="90">
        <v>-1</v>
      </c>
      <c r="F136" s="90">
        <v>1.32</v>
      </c>
      <c r="G136" s="90"/>
      <c r="H136" s="90">
        <v>1.7</v>
      </c>
      <c r="I136" s="90">
        <f t="shared" si="13"/>
        <v>-2.2440000000000002</v>
      </c>
      <c r="J136" s="213"/>
    </row>
    <row r="137" spans="1:10" ht="34" x14ac:dyDescent="0.7">
      <c r="A137" s="165" t="s">
        <v>239</v>
      </c>
      <c r="B137" s="217" t="s">
        <v>394</v>
      </c>
      <c r="C137" s="90"/>
      <c r="D137" s="90"/>
      <c r="E137" s="90"/>
      <c r="F137" s="90"/>
      <c r="G137" s="90"/>
      <c r="H137" s="90"/>
      <c r="I137" s="90"/>
      <c r="J137" s="213"/>
    </row>
    <row r="138" spans="1:10" x14ac:dyDescent="0.7">
      <c r="A138" s="165"/>
      <c r="B138" s="218" t="s">
        <v>375</v>
      </c>
      <c r="C138" s="90" t="s">
        <v>13</v>
      </c>
      <c r="D138" s="90" t="s">
        <v>181</v>
      </c>
      <c r="E138" s="88">
        <v>2</v>
      </c>
      <c r="F138" s="88">
        <v>1.56</v>
      </c>
      <c r="G138" s="88"/>
      <c r="H138" s="88">
        <v>2.85</v>
      </c>
      <c r="I138" s="90">
        <f>PRODUCT(E138:H138)</f>
        <v>8.8920000000000012</v>
      </c>
      <c r="J138" s="213"/>
    </row>
    <row r="139" spans="1:10" x14ac:dyDescent="0.7">
      <c r="A139" s="165"/>
      <c r="B139" s="105" t="s">
        <v>395</v>
      </c>
      <c r="C139" s="90" t="s">
        <v>13</v>
      </c>
      <c r="D139" s="90" t="s">
        <v>181</v>
      </c>
      <c r="E139" s="88">
        <v>2</v>
      </c>
      <c r="F139" s="88">
        <v>2.56</v>
      </c>
      <c r="G139" s="88"/>
      <c r="H139" s="88">
        <v>2.85</v>
      </c>
      <c r="I139" s="90">
        <f>PRODUCT(E139:H139)</f>
        <v>14.592000000000001</v>
      </c>
      <c r="J139" s="213"/>
    </row>
    <row r="140" spans="1:10" x14ac:dyDescent="0.7">
      <c r="A140" s="165"/>
      <c r="B140" s="105" t="s">
        <v>416</v>
      </c>
      <c r="C140" s="90" t="s">
        <v>13</v>
      </c>
      <c r="D140" s="90" t="s">
        <v>181</v>
      </c>
      <c r="E140" s="88">
        <v>1</v>
      </c>
      <c r="F140" s="88">
        <v>1.56</v>
      </c>
      <c r="G140" s="88"/>
      <c r="H140" s="88">
        <v>2.56</v>
      </c>
      <c r="I140" s="90">
        <f>PRODUCT(E140:H140)</f>
        <v>3.9936000000000003</v>
      </c>
      <c r="J140" s="213"/>
    </row>
    <row r="141" spans="1:10" x14ac:dyDescent="0.7">
      <c r="A141" s="165"/>
      <c r="B141" s="105" t="s">
        <v>382</v>
      </c>
      <c r="C141" s="90" t="s">
        <v>13</v>
      </c>
      <c r="D141" s="90" t="s">
        <v>181</v>
      </c>
      <c r="E141" s="88">
        <v>-1</v>
      </c>
      <c r="F141" s="88">
        <v>0.87</v>
      </c>
      <c r="G141" s="88"/>
      <c r="H141" s="88">
        <v>1.05</v>
      </c>
      <c r="I141" s="90">
        <f>PRODUCT(E141:H141)</f>
        <v>-0.91349999999999998</v>
      </c>
      <c r="J141" s="213"/>
    </row>
    <row r="142" spans="1:10" x14ac:dyDescent="0.7">
      <c r="A142" s="165"/>
      <c r="B142" s="105" t="s">
        <v>380</v>
      </c>
      <c r="C142" s="90" t="s">
        <v>13</v>
      </c>
      <c r="D142" s="90" t="s">
        <v>181</v>
      </c>
      <c r="E142" s="88">
        <v>-1</v>
      </c>
      <c r="F142" s="88">
        <v>0.97</v>
      </c>
      <c r="G142" s="88"/>
      <c r="H142" s="88">
        <v>2.0699999999999998</v>
      </c>
      <c r="I142" s="90">
        <f>PRODUCT(E142:H142)</f>
        <v>-2.0078999999999998</v>
      </c>
      <c r="J142" s="213"/>
    </row>
    <row r="143" spans="1:10" x14ac:dyDescent="0.7">
      <c r="A143" s="165" t="s">
        <v>242</v>
      </c>
      <c r="B143" s="217" t="s">
        <v>396</v>
      </c>
      <c r="C143" s="88"/>
      <c r="D143" s="88"/>
      <c r="E143" s="88"/>
      <c r="F143" s="88"/>
      <c r="G143" s="88"/>
      <c r="H143" s="88"/>
      <c r="I143" s="90"/>
      <c r="J143" s="213"/>
    </row>
    <row r="144" spans="1:10" x14ac:dyDescent="0.7">
      <c r="A144" s="165"/>
      <c r="B144" s="218" t="s">
        <v>375</v>
      </c>
      <c r="C144" s="90" t="s">
        <v>13</v>
      </c>
      <c r="D144" s="90" t="s">
        <v>181</v>
      </c>
      <c r="E144" s="88">
        <v>2</v>
      </c>
      <c r="F144" s="88">
        <v>2.5</v>
      </c>
      <c r="G144" s="88"/>
      <c r="H144" s="88">
        <v>2.855</v>
      </c>
      <c r="I144" s="90">
        <f>PRODUCT(E144:H144)</f>
        <v>14.275</v>
      </c>
      <c r="J144" s="213"/>
    </row>
    <row r="145" spans="1:10" x14ac:dyDescent="0.7">
      <c r="A145" s="165"/>
      <c r="B145" s="105" t="s">
        <v>395</v>
      </c>
      <c r="C145" s="90" t="s">
        <v>13</v>
      </c>
      <c r="D145" s="90" t="s">
        <v>181</v>
      </c>
      <c r="E145" s="88">
        <v>2</v>
      </c>
      <c r="F145" s="88">
        <v>4.0049999999999999</v>
      </c>
      <c r="G145" s="88"/>
      <c r="H145" s="88">
        <v>2.855</v>
      </c>
      <c r="I145" s="90">
        <f>PRODUCT(E145:H145)</f>
        <v>22.868549999999999</v>
      </c>
      <c r="J145" s="213"/>
    </row>
    <row r="146" spans="1:10" x14ac:dyDescent="0.7">
      <c r="A146" s="165"/>
      <c r="B146" s="105" t="s">
        <v>416</v>
      </c>
      <c r="C146" s="90" t="s">
        <v>13</v>
      </c>
      <c r="D146" s="90" t="s">
        <v>181</v>
      </c>
      <c r="E146" s="88">
        <v>1</v>
      </c>
      <c r="F146" s="88">
        <v>4.0049999999999999</v>
      </c>
      <c r="G146" s="88"/>
      <c r="H146" s="88">
        <v>2.5</v>
      </c>
      <c r="I146" s="90">
        <f>PRODUCT(E146:H146)</f>
        <v>10.012499999999999</v>
      </c>
      <c r="J146" s="213"/>
    </row>
    <row r="147" spans="1:10" x14ac:dyDescent="0.7">
      <c r="A147" s="165"/>
      <c r="B147" s="105" t="s">
        <v>382</v>
      </c>
      <c r="C147" s="88" t="s">
        <v>13</v>
      </c>
      <c r="D147" s="90" t="s">
        <v>181</v>
      </c>
      <c r="E147" s="88">
        <v>-3</v>
      </c>
      <c r="F147" s="88">
        <v>1.175</v>
      </c>
      <c r="G147" s="88"/>
      <c r="H147" s="88">
        <v>1.02</v>
      </c>
      <c r="I147" s="90">
        <f>PRODUCT(E147:H147)</f>
        <v>-3.5955000000000004</v>
      </c>
      <c r="J147" s="213"/>
    </row>
    <row r="148" spans="1:10" x14ac:dyDescent="0.7">
      <c r="A148" s="165"/>
      <c r="B148" s="105" t="s">
        <v>380</v>
      </c>
      <c r="C148" s="88" t="s">
        <v>13</v>
      </c>
      <c r="D148" s="90" t="s">
        <v>181</v>
      </c>
      <c r="E148" s="88">
        <v>-1</v>
      </c>
      <c r="F148" s="88">
        <v>0.97</v>
      </c>
      <c r="G148" s="88"/>
      <c r="H148" s="88">
        <v>2.08</v>
      </c>
      <c r="I148" s="90">
        <f>PRODUCT(E148:H148)</f>
        <v>-2.0175999999999998</v>
      </c>
      <c r="J148" s="213"/>
    </row>
    <row r="149" spans="1:10" x14ac:dyDescent="0.7">
      <c r="A149" s="165"/>
      <c r="B149" s="219"/>
      <c r="C149" s="100"/>
      <c r="D149" s="100"/>
      <c r="E149" s="100"/>
      <c r="F149" s="100"/>
      <c r="G149" s="100"/>
      <c r="H149" s="100"/>
      <c r="I149" s="100"/>
      <c r="J149" s="214"/>
    </row>
    <row r="150" spans="1:10" x14ac:dyDescent="0.7">
      <c r="A150" s="165" t="s">
        <v>48</v>
      </c>
      <c r="B150" s="217" t="s">
        <v>399</v>
      </c>
      <c r="C150" s="88"/>
      <c r="D150" s="88"/>
      <c r="E150" s="88"/>
      <c r="F150" s="88"/>
      <c r="G150" s="88"/>
      <c r="H150" s="88"/>
      <c r="I150" s="90"/>
      <c r="J150" s="213"/>
    </row>
    <row r="151" spans="1:10" x14ac:dyDescent="0.7">
      <c r="A151" s="165"/>
      <c r="B151" s="105" t="s">
        <v>382</v>
      </c>
      <c r="C151" s="88" t="s">
        <v>13</v>
      </c>
      <c r="D151" s="90" t="s">
        <v>181</v>
      </c>
      <c r="E151" s="88">
        <v>-1</v>
      </c>
      <c r="F151" s="88">
        <v>1.1599999999999999</v>
      </c>
      <c r="G151" s="88"/>
      <c r="H151" s="88">
        <v>1.145</v>
      </c>
      <c r="I151" s="88">
        <f>PRODUCT(E151:H151)</f>
        <v>-1.3281999999999998</v>
      </c>
      <c r="J151" s="213"/>
    </row>
    <row r="152" spans="1:10" x14ac:dyDescent="0.7">
      <c r="A152" s="165"/>
      <c r="B152" s="218" t="s">
        <v>375</v>
      </c>
      <c r="C152" s="90" t="s">
        <v>13</v>
      </c>
      <c r="D152" s="90" t="s">
        <v>181</v>
      </c>
      <c r="E152" s="88">
        <v>2</v>
      </c>
      <c r="F152" s="88">
        <v>4.7750000000000004</v>
      </c>
      <c r="G152" s="88"/>
      <c r="H152" s="88">
        <v>3.4649999999999999</v>
      </c>
      <c r="I152" s="90">
        <f>PRODUCT(E152:H152)</f>
        <v>33.09075</v>
      </c>
      <c r="J152" s="213"/>
    </row>
    <row r="153" spans="1:10" x14ac:dyDescent="0.7">
      <c r="A153" s="165"/>
      <c r="B153" s="105" t="s">
        <v>395</v>
      </c>
      <c r="C153" s="90" t="s">
        <v>13</v>
      </c>
      <c r="D153" s="90" t="s">
        <v>181</v>
      </c>
      <c r="E153" s="88">
        <v>1</v>
      </c>
      <c r="F153" s="88">
        <v>4.5199999999999996</v>
      </c>
      <c r="G153" s="88"/>
      <c r="H153" s="88">
        <v>3.4649999999999999</v>
      </c>
      <c r="I153" s="90">
        <f>PRODUCT(E153:H153)</f>
        <v>15.661799999999998</v>
      </c>
      <c r="J153" s="213"/>
    </row>
    <row r="154" spans="1:10" x14ac:dyDescent="0.7">
      <c r="A154" s="165"/>
      <c r="B154" s="105" t="s">
        <v>416</v>
      </c>
      <c r="C154" s="90" t="s">
        <v>13</v>
      </c>
      <c r="D154" s="90" t="s">
        <v>181</v>
      </c>
      <c r="E154" s="88">
        <v>1</v>
      </c>
      <c r="F154" s="88">
        <v>4.5199999999999996</v>
      </c>
      <c r="G154" s="88"/>
      <c r="H154" s="88">
        <v>4.7750000000000004</v>
      </c>
      <c r="I154" s="90">
        <f>PRODUCT(E154:H154)</f>
        <v>21.582999999999998</v>
      </c>
      <c r="J154" s="213"/>
    </row>
    <row r="155" spans="1:10" x14ac:dyDescent="0.7">
      <c r="A155" s="165"/>
      <c r="B155" s="105" t="s">
        <v>422</v>
      </c>
      <c r="C155" s="90" t="s">
        <v>13</v>
      </c>
      <c r="D155" s="90" t="s">
        <v>181</v>
      </c>
      <c r="E155" s="88">
        <v>1</v>
      </c>
      <c r="F155" s="88">
        <v>4.5199999999999996</v>
      </c>
      <c r="G155" s="88"/>
      <c r="H155" s="88">
        <v>0.5</v>
      </c>
      <c r="I155" s="90">
        <f>PRODUCT(E155:H155)</f>
        <v>2.2599999999999998</v>
      </c>
      <c r="J155" s="213"/>
    </row>
    <row r="156" spans="1:10" ht="34" x14ac:dyDescent="0.7">
      <c r="A156" s="165" t="s">
        <v>73</v>
      </c>
      <c r="B156" s="217" t="s">
        <v>410</v>
      </c>
      <c r="C156" s="88"/>
      <c r="D156" s="88"/>
      <c r="E156" s="88"/>
      <c r="F156" s="88"/>
      <c r="G156" s="88"/>
      <c r="H156" s="88"/>
      <c r="I156" s="90"/>
      <c r="J156" s="213"/>
    </row>
    <row r="157" spans="1:10" x14ac:dyDescent="0.7">
      <c r="A157" s="165"/>
      <c r="B157" s="218" t="s">
        <v>375</v>
      </c>
      <c r="C157" s="90" t="s">
        <v>13</v>
      </c>
      <c r="D157" s="90" t="s">
        <v>181</v>
      </c>
      <c r="E157" s="88">
        <v>2</v>
      </c>
      <c r="F157" s="88">
        <v>3.5</v>
      </c>
      <c r="G157" s="88"/>
      <c r="H157" s="88">
        <v>2.83</v>
      </c>
      <c r="I157" s="90">
        <f t="shared" ref="I157:I164" si="14">PRODUCT(E157:H157)</f>
        <v>19.810000000000002</v>
      </c>
      <c r="J157" s="213"/>
    </row>
    <row r="158" spans="1:10" x14ac:dyDescent="0.7">
      <c r="A158" s="165"/>
      <c r="B158" s="105" t="s">
        <v>444</v>
      </c>
      <c r="C158" s="90" t="s">
        <v>13</v>
      </c>
      <c r="D158" s="90" t="s">
        <v>181</v>
      </c>
      <c r="E158" s="88">
        <v>3</v>
      </c>
      <c r="F158" s="88">
        <v>2.73</v>
      </c>
      <c r="G158" s="88"/>
      <c r="H158" s="88">
        <v>2.83</v>
      </c>
      <c r="I158" s="90">
        <f t="shared" si="14"/>
        <v>23.177699999999998</v>
      </c>
      <c r="J158" s="213"/>
    </row>
    <row r="159" spans="1:10" x14ac:dyDescent="0.7">
      <c r="A159" s="165"/>
      <c r="B159" s="105" t="s">
        <v>416</v>
      </c>
      <c r="C159" s="90" t="s">
        <v>13</v>
      </c>
      <c r="D159" s="90" t="s">
        <v>181</v>
      </c>
      <c r="E159" s="88">
        <v>4</v>
      </c>
      <c r="F159" s="88">
        <v>5.5</v>
      </c>
      <c r="G159" s="88"/>
      <c r="H159" s="88">
        <v>3.5</v>
      </c>
      <c r="I159" s="90">
        <f t="shared" si="14"/>
        <v>77</v>
      </c>
      <c r="J159" s="213"/>
    </row>
    <row r="160" spans="1:10" x14ac:dyDescent="0.7">
      <c r="A160" s="165"/>
      <c r="B160" s="105" t="s">
        <v>412</v>
      </c>
      <c r="C160" s="90" t="s">
        <v>13</v>
      </c>
      <c r="D160" s="90" t="s">
        <v>181</v>
      </c>
      <c r="E160" s="88">
        <v>-4</v>
      </c>
      <c r="F160" s="88">
        <v>0.53500000000000003</v>
      </c>
      <c r="G160" s="88"/>
      <c r="H160" s="88">
        <v>0.56000000000000005</v>
      </c>
      <c r="I160" s="90">
        <f t="shared" si="14"/>
        <v>-1.1984000000000001</v>
      </c>
      <c r="J160" s="213"/>
    </row>
    <row r="161" spans="1:10" x14ac:dyDescent="0.7">
      <c r="A161" s="165"/>
      <c r="B161" s="105" t="s">
        <v>380</v>
      </c>
      <c r="C161" s="90" t="s">
        <v>13</v>
      </c>
      <c r="D161" s="90" t="s">
        <v>181</v>
      </c>
      <c r="E161" s="88">
        <v>-2</v>
      </c>
      <c r="F161" s="88">
        <v>0.89</v>
      </c>
      <c r="G161" s="88"/>
      <c r="H161" s="88">
        <v>2.165</v>
      </c>
      <c r="I161" s="90">
        <f t="shared" si="14"/>
        <v>-3.8536999999999999</v>
      </c>
      <c r="J161" s="213"/>
    </row>
    <row r="162" spans="1:10" x14ac:dyDescent="0.7">
      <c r="A162" s="165"/>
      <c r="B162" s="105" t="s">
        <v>382</v>
      </c>
      <c r="C162" s="90" t="s">
        <v>13</v>
      </c>
      <c r="D162" s="90" t="s">
        <v>181</v>
      </c>
      <c r="E162" s="88">
        <v>-2</v>
      </c>
      <c r="F162" s="88">
        <v>0.59</v>
      </c>
      <c r="G162" s="88"/>
      <c r="H162" s="88">
        <v>1.2649999999999999</v>
      </c>
      <c r="I162" s="90">
        <f t="shared" si="14"/>
        <v>-1.4926999999999999</v>
      </c>
      <c r="J162" s="213"/>
    </row>
    <row r="163" spans="1:10" x14ac:dyDescent="0.7">
      <c r="A163" s="165"/>
      <c r="B163" s="105" t="s">
        <v>382</v>
      </c>
      <c r="C163" s="90" t="s">
        <v>13</v>
      </c>
      <c r="D163" s="90" t="s">
        <v>181</v>
      </c>
      <c r="E163" s="88">
        <v>-1</v>
      </c>
      <c r="F163" s="88">
        <v>1.135</v>
      </c>
      <c r="G163" s="88"/>
      <c r="H163" s="88">
        <v>1.145</v>
      </c>
      <c r="I163" s="90">
        <f t="shared" si="14"/>
        <v>-1.2995749999999999</v>
      </c>
      <c r="J163" s="213"/>
    </row>
    <row r="164" spans="1:10" x14ac:dyDescent="0.7">
      <c r="A164" s="165"/>
      <c r="B164" s="105" t="s">
        <v>382</v>
      </c>
      <c r="C164" s="90" t="s">
        <v>13</v>
      </c>
      <c r="D164" s="90" t="s">
        <v>181</v>
      </c>
      <c r="E164" s="88">
        <v>-1</v>
      </c>
      <c r="F164" s="88">
        <v>1.175</v>
      </c>
      <c r="G164" s="88"/>
      <c r="H164" s="88">
        <v>1.2050000000000001</v>
      </c>
      <c r="I164" s="90">
        <f t="shared" si="14"/>
        <v>-1.4158750000000002</v>
      </c>
      <c r="J164" s="213"/>
    </row>
    <row r="165" spans="1:10" ht="34" x14ac:dyDescent="0.7">
      <c r="A165" s="165" t="s">
        <v>79</v>
      </c>
      <c r="B165" s="217" t="s">
        <v>405</v>
      </c>
      <c r="C165" s="90"/>
      <c r="D165" s="90"/>
      <c r="E165" s="88"/>
      <c r="F165" s="88"/>
      <c r="G165" s="88"/>
      <c r="H165" s="88"/>
      <c r="I165" s="90"/>
      <c r="J165" s="213"/>
    </row>
    <row r="166" spans="1:10" x14ac:dyDescent="0.7">
      <c r="A166" s="165"/>
      <c r="B166" s="218" t="s">
        <v>375</v>
      </c>
      <c r="C166" s="90" t="s">
        <v>13</v>
      </c>
      <c r="D166" s="90" t="s">
        <v>181</v>
      </c>
      <c r="E166" s="88">
        <v>2</v>
      </c>
      <c r="F166" s="88">
        <v>2.1</v>
      </c>
      <c r="G166" s="88"/>
      <c r="H166" s="88">
        <v>2.83</v>
      </c>
      <c r="I166" s="90">
        <f>PRODUCT(E166:H166)</f>
        <v>11.886000000000001</v>
      </c>
      <c r="J166" s="213"/>
    </row>
    <row r="167" spans="1:10" x14ac:dyDescent="0.7">
      <c r="A167" s="165"/>
      <c r="B167" s="105" t="s">
        <v>393</v>
      </c>
      <c r="C167" s="90" t="s">
        <v>13</v>
      </c>
      <c r="D167" s="90" t="s">
        <v>181</v>
      </c>
      <c r="E167" s="88">
        <v>2</v>
      </c>
      <c r="F167" s="88">
        <v>2.09</v>
      </c>
      <c r="G167" s="88"/>
      <c r="H167" s="88">
        <v>2.83</v>
      </c>
      <c r="I167" s="90">
        <f>PRODUCT(E167:H167)</f>
        <v>11.8294</v>
      </c>
      <c r="J167" s="213"/>
    </row>
    <row r="168" spans="1:10" x14ac:dyDescent="0.7">
      <c r="A168" s="165"/>
      <c r="B168" s="105" t="s">
        <v>416</v>
      </c>
      <c r="C168" s="90" t="s">
        <v>13</v>
      </c>
      <c r="D168" s="90" t="s">
        <v>181</v>
      </c>
      <c r="E168" s="88">
        <v>1</v>
      </c>
      <c r="F168" s="88">
        <v>2.09</v>
      </c>
      <c r="G168" s="88"/>
      <c r="H168" s="88">
        <v>2.1</v>
      </c>
      <c r="I168" s="90">
        <f>PRODUCT(E168:H168)</f>
        <v>4.3890000000000002</v>
      </c>
      <c r="J168" s="213"/>
    </row>
    <row r="169" spans="1:10" x14ac:dyDescent="0.7">
      <c r="A169" s="165"/>
      <c r="B169" s="105" t="s">
        <v>380</v>
      </c>
      <c r="C169" s="88" t="s">
        <v>13</v>
      </c>
      <c r="D169" s="90" t="s">
        <v>181</v>
      </c>
      <c r="E169" s="88">
        <v>-1</v>
      </c>
      <c r="F169" s="88">
        <v>0.995</v>
      </c>
      <c r="G169" s="88"/>
      <c r="H169" s="88">
        <v>2.09</v>
      </c>
      <c r="I169" s="90">
        <f>PRODUCT(E169:H169)</f>
        <v>-2.0795499999999998</v>
      </c>
      <c r="J169" s="213"/>
    </row>
    <row r="170" spans="1:10" x14ac:dyDescent="0.7">
      <c r="A170" s="165"/>
      <c r="B170" s="105" t="s">
        <v>382</v>
      </c>
      <c r="C170" s="88" t="s">
        <v>13</v>
      </c>
      <c r="D170" s="90" t="s">
        <v>181</v>
      </c>
      <c r="E170" s="88">
        <v>-1</v>
      </c>
      <c r="F170" s="88">
        <v>1.2</v>
      </c>
      <c r="G170" s="88"/>
      <c r="H170" s="88">
        <v>1.1100000000000001</v>
      </c>
      <c r="I170" s="90">
        <f>PRODUCT(E170:H170)</f>
        <v>-1.3320000000000001</v>
      </c>
      <c r="J170" s="213"/>
    </row>
    <row r="171" spans="1:10" ht="34" x14ac:dyDescent="0.7">
      <c r="A171" s="165" t="s">
        <v>82</v>
      </c>
      <c r="B171" s="217" t="s">
        <v>415</v>
      </c>
      <c r="C171" s="88"/>
      <c r="D171" s="88"/>
      <c r="E171" s="88"/>
      <c r="F171" s="88"/>
      <c r="G171" s="88"/>
      <c r="H171" s="88"/>
      <c r="I171" s="89"/>
      <c r="J171" s="213"/>
    </row>
    <row r="172" spans="1:10" x14ac:dyDescent="0.7">
      <c r="A172" s="165"/>
      <c r="B172" s="218" t="s">
        <v>375</v>
      </c>
      <c r="C172" s="90" t="s">
        <v>13</v>
      </c>
      <c r="D172" s="90" t="s">
        <v>173</v>
      </c>
      <c r="E172" s="88">
        <f>2+2</f>
        <v>4</v>
      </c>
      <c r="F172" s="88">
        <v>2.6</v>
      </c>
      <c r="G172" s="88"/>
      <c r="H172" s="88">
        <v>3</v>
      </c>
      <c r="I172" s="90">
        <f t="shared" ref="I172:I177" si="15">PRODUCT(E172:H172)</f>
        <v>31.200000000000003</v>
      </c>
      <c r="J172" s="213"/>
    </row>
    <row r="173" spans="1:10" x14ac:dyDescent="0.7">
      <c r="A173" s="165"/>
      <c r="B173" s="105" t="s">
        <v>393</v>
      </c>
      <c r="C173" s="90" t="s">
        <v>13</v>
      </c>
      <c r="D173" s="90" t="s">
        <v>173</v>
      </c>
      <c r="E173" s="88">
        <f>2+2</f>
        <v>4</v>
      </c>
      <c r="F173" s="88">
        <v>2.6</v>
      </c>
      <c r="G173" s="88"/>
      <c r="H173" s="88">
        <v>3</v>
      </c>
      <c r="I173" s="90">
        <f t="shared" si="15"/>
        <v>31.200000000000003</v>
      </c>
      <c r="J173" s="213"/>
    </row>
    <row r="174" spans="1:10" x14ac:dyDescent="0.7">
      <c r="A174" s="165"/>
      <c r="B174" s="105" t="s">
        <v>416</v>
      </c>
      <c r="C174" s="90" t="s">
        <v>13</v>
      </c>
      <c r="D174" s="90" t="s">
        <v>173</v>
      </c>
      <c r="E174" s="88">
        <f>1+1</f>
        <v>2</v>
      </c>
      <c r="F174" s="88">
        <v>2.6</v>
      </c>
      <c r="G174" s="88"/>
      <c r="H174" s="88">
        <v>2.6</v>
      </c>
      <c r="I174" s="90">
        <f t="shared" si="15"/>
        <v>13.520000000000001</v>
      </c>
      <c r="J174" s="213"/>
    </row>
    <row r="175" spans="1:10" x14ac:dyDescent="0.7">
      <c r="A175" s="165"/>
      <c r="B175" s="105" t="s">
        <v>380</v>
      </c>
      <c r="C175" s="88" t="s">
        <v>13</v>
      </c>
      <c r="D175" s="88" t="s">
        <v>173</v>
      </c>
      <c r="E175" s="88">
        <f>-(1+1)</f>
        <v>-2</v>
      </c>
      <c r="F175" s="88">
        <v>0.98</v>
      </c>
      <c r="G175" s="88"/>
      <c r="H175" s="88">
        <v>2.0699999999999998</v>
      </c>
      <c r="I175" s="90">
        <f t="shared" si="15"/>
        <v>-4.0571999999999999</v>
      </c>
      <c r="J175" s="213"/>
    </row>
    <row r="176" spans="1:10" x14ac:dyDescent="0.7">
      <c r="A176" s="165"/>
      <c r="B176" s="105" t="s">
        <v>401</v>
      </c>
      <c r="C176" s="88" t="s">
        <v>13</v>
      </c>
      <c r="D176" s="88" t="s">
        <v>173</v>
      </c>
      <c r="E176" s="88">
        <f>-(2+2)</f>
        <v>-4</v>
      </c>
      <c r="F176" s="88">
        <v>1.165</v>
      </c>
      <c r="G176" s="88"/>
      <c r="H176" s="88">
        <v>1.05</v>
      </c>
      <c r="I176" s="90">
        <f t="shared" si="15"/>
        <v>-4.8930000000000007</v>
      </c>
      <c r="J176" s="213"/>
    </row>
    <row r="177" spans="1:10" ht="34" x14ac:dyDescent="0.7">
      <c r="A177" s="165"/>
      <c r="B177" s="105" t="s">
        <v>398</v>
      </c>
      <c r="C177" s="88" t="s">
        <v>13</v>
      </c>
      <c r="D177" s="88" t="s">
        <v>173</v>
      </c>
      <c r="E177" s="88">
        <f>-(1+1)</f>
        <v>-2</v>
      </c>
      <c r="F177" s="88">
        <v>0.85</v>
      </c>
      <c r="G177" s="88"/>
      <c r="H177" s="88">
        <v>1.05</v>
      </c>
      <c r="I177" s="90">
        <f t="shared" si="15"/>
        <v>-1.7849999999999999</v>
      </c>
      <c r="J177" s="213"/>
    </row>
    <row r="178" spans="1:10" ht="34" x14ac:dyDescent="0.7">
      <c r="A178" s="165" t="s">
        <v>88</v>
      </c>
      <c r="B178" s="217" t="s">
        <v>417</v>
      </c>
      <c r="C178" s="88"/>
      <c r="D178" s="88"/>
      <c r="E178" s="88"/>
      <c r="F178" s="88"/>
      <c r="G178" s="88"/>
      <c r="H178" s="88"/>
      <c r="I178" s="89"/>
      <c r="J178" s="213"/>
    </row>
    <row r="179" spans="1:10" x14ac:dyDescent="0.7">
      <c r="A179" s="165"/>
      <c r="B179" s="218" t="s">
        <v>375</v>
      </c>
      <c r="C179" s="90" t="s">
        <v>13</v>
      </c>
      <c r="D179" s="90" t="s">
        <v>181</v>
      </c>
      <c r="E179" s="88">
        <v>2</v>
      </c>
      <c r="F179" s="88">
        <v>2.61</v>
      </c>
      <c r="G179" s="88"/>
      <c r="H179" s="88">
        <v>2.85</v>
      </c>
      <c r="I179" s="90">
        <f t="shared" ref="I179:I184" si="16">PRODUCT(E179:H179)</f>
        <v>14.876999999999999</v>
      </c>
      <c r="J179" s="213"/>
    </row>
    <row r="180" spans="1:10" x14ac:dyDescent="0.7">
      <c r="A180" s="165"/>
      <c r="B180" s="105" t="s">
        <v>393</v>
      </c>
      <c r="C180" s="90" t="s">
        <v>13</v>
      </c>
      <c r="D180" s="90" t="s">
        <v>181</v>
      </c>
      <c r="E180" s="88">
        <v>2</v>
      </c>
      <c r="F180" s="88">
        <v>3.58</v>
      </c>
      <c r="G180" s="88"/>
      <c r="H180" s="88">
        <v>2.85</v>
      </c>
      <c r="I180" s="90">
        <f t="shared" si="16"/>
        <v>20.406000000000002</v>
      </c>
      <c r="J180" s="213"/>
    </row>
    <row r="181" spans="1:10" x14ac:dyDescent="0.7">
      <c r="A181" s="165"/>
      <c r="B181" s="105" t="s">
        <v>416</v>
      </c>
      <c r="C181" s="90" t="s">
        <v>13</v>
      </c>
      <c r="D181" s="90" t="s">
        <v>181</v>
      </c>
      <c r="E181" s="88">
        <v>1</v>
      </c>
      <c r="F181" s="88">
        <v>2.61</v>
      </c>
      <c r="G181" s="88"/>
      <c r="H181" s="88">
        <v>3.58</v>
      </c>
      <c r="I181" s="90">
        <f t="shared" si="16"/>
        <v>9.3437999999999999</v>
      </c>
      <c r="J181" s="213"/>
    </row>
    <row r="182" spans="1:10" x14ac:dyDescent="0.7">
      <c r="A182" s="165"/>
      <c r="B182" s="105" t="s">
        <v>380</v>
      </c>
      <c r="C182" s="90" t="s">
        <v>13</v>
      </c>
      <c r="D182" s="90" t="s">
        <v>181</v>
      </c>
      <c r="E182" s="88">
        <v>-1</v>
      </c>
      <c r="F182" s="88">
        <v>0.98</v>
      </c>
      <c r="G182" s="88"/>
      <c r="H182" s="88">
        <v>2</v>
      </c>
      <c r="I182" s="90">
        <f t="shared" si="16"/>
        <v>-1.96</v>
      </c>
      <c r="J182" s="213"/>
    </row>
    <row r="183" spans="1:10" x14ac:dyDescent="0.7">
      <c r="A183" s="165"/>
      <c r="B183" s="105" t="s">
        <v>421</v>
      </c>
      <c r="C183" s="88" t="s">
        <v>13</v>
      </c>
      <c r="D183" s="90" t="s">
        <v>181</v>
      </c>
      <c r="E183" s="88">
        <v>-1</v>
      </c>
      <c r="F183" s="88">
        <v>1.1850000000000001</v>
      </c>
      <c r="G183" s="88"/>
      <c r="H183" s="88">
        <v>1.0149999999999999</v>
      </c>
      <c r="I183" s="90">
        <f t="shared" si="16"/>
        <v>-1.2027749999999999</v>
      </c>
      <c r="J183" s="213"/>
    </row>
    <row r="184" spans="1:10" ht="34" x14ac:dyDescent="0.7">
      <c r="A184" s="165"/>
      <c r="B184" s="105" t="s">
        <v>398</v>
      </c>
      <c r="C184" s="88" t="s">
        <v>13</v>
      </c>
      <c r="D184" s="90" t="s">
        <v>181</v>
      </c>
      <c r="E184" s="88">
        <v>-1</v>
      </c>
      <c r="F184" s="88">
        <v>1.175</v>
      </c>
      <c r="G184" s="88"/>
      <c r="H184" s="88">
        <v>1.03</v>
      </c>
      <c r="I184" s="90">
        <f t="shared" si="16"/>
        <v>-1.21025</v>
      </c>
      <c r="J184" s="213"/>
    </row>
    <row r="185" spans="1:10" ht="34" x14ac:dyDescent="0.7">
      <c r="A185" s="165" t="s">
        <v>105</v>
      </c>
      <c r="B185" s="217" t="s">
        <v>423</v>
      </c>
      <c r="C185" s="88"/>
      <c r="D185" s="88"/>
      <c r="E185" s="88"/>
      <c r="F185" s="88"/>
      <c r="G185" s="88"/>
      <c r="H185" s="88"/>
      <c r="I185" s="89"/>
      <c r="J185" s="213"/>
    </row>
    <row r="186" spans="1:10" x14ac:dyDescent="0.7">
      <c r="A186" s="165"/>
      <c r="B186" s="218" t="s">
        <v>445</v>
      </c>
      <c r="C186" s="90" t="s">
        <v>13</v>
      </c>
      <c r="D186" s="90" t="s">
        <v>173</v>
      </c>
      <c r="E186" s="88">
        <f>2+2</f>
        <v>4</v>
      </c>
      <c r="F186" s="88">
        <f>(1.47+0.25+0.45)</f>
        <v>2.17</v>
      </c>
      <c r="G186" s="88"/>
      <c r="H186" s="88">
        <v>0.43</v>
      </c>
      <c r="I186" s="90">
        <f t="shared" ref="I186:I204" si="17">PRODUCT(E186:H186)</f>
        <v>3.7323999999999997</v>
      </c>
      <c r="J186" s="213"/>
    </row>
    <row r="187" spans="1:10" x14ac:dyDescent="0.7">
      <c r="A187" s="165"/>
      <c r="B187" s="218" t="s">
        <v>445</v>
      </c>
      <c r="C187" s="90" t="s">
        <v>13</v>
      </c>
      <c r="D187" s="90" t="s">
        <v>173</v>
      </c>
      <c r="E187" s="88">
        <f>1+1</f>
        <v>2</v>
      </c>
      <c r="F187" s="88">
        <v>1.85</v>
      </c>
      <c r="G187" s="88"/>
      <c r="H187" s="88">
        <v>0.85</v>
      </c>
      <c r="I187" s="90">
        <f t="shared" si="17"/>
        <v>3.145</v>
      </c>
      <c r="J187" s="213"/>
    </row>
    <row r="188" spans="1:10" x14ac:dyDescent="0.7">
      <c r="A188" s="165"/>
      <c r="B188" s="105" t="s">
        <v>432</v>
      </c>
      <c r="C188" s="90" t="s">
        <v>13</v>
      </c>
      <c r="D188" s="90" t="s">
        <v>173</v>
      </c>
      <c r="E188" s="88">
        <f>-(2+2)</f>
        <v>-4</v>
      </c>
      <c r="F188" s="88">
        <v>0.64</v>
      </c>
      <c r="G188" s="88"/>
      <c r="H188" s="88">
        <v>0.61499999999999999</v>
      </c>
      <c r="I188" s="90">
        <f t="shared" si="17"/>
        <v>-1.5744</v>
      </c>
      <c r="J188" s="213"/>
    </row>
    <row r="189" spans="1:10" x14ac:dyDescent="0.7">
      <c r="A189" s="165"/>
      <c r="B189" s="105" t="s">
        <v>446</v>
      </c>
      <c r="C189" s="90" t="s">
        <v>13</v>
      </c>
      <c r="D189" s="90" t="s">
        <v>173</v>
      </c>
      <c r="E189" s="88">
        <f>2+2</f>
        <v>4</v>
      </c>
      <c r="F189" s="88">
        <v>4.5</v>
      </c>
      <c r="G189" s="88"/>
      <c r="H189" s="88">
        <v>0.85</v>
      </c>
      <c r="I189" s="90">
        <f t="shared" si="17"/>
        <v>15.299999999999999</v>
      </c>
      <c r="J189" s="213"/>
    </row>
    <row r="190" spans="1:10" ht="34" x14ac:dyDescent="0.7">
      <c r="A190" s="165"/>
      <c r="B190" s="105" t="s">
        <v>447</v>
      </c>
      <c r="C190" s="90" t="s">
        <v>13</v>
      </c>
      <c r="D190" s="90" t="s">
        <v>173</v>
      </c>
      <c r="E190" s="88">
        <f>2+2</f>
        <v>4</v>
      </c>
      <c r="F190" s="88">
        <v>15.3</v>
      </c>
      <c r="G190" s="88"/>
      <c r="H190" s="88">
        <v>0.85</v>
      </c>
      <c r="I190" s="90">
        <f t="shared" si="17"/>
        <v>52.02</v>
      </c>
      <c r="J190" s="213"/>
    </row>
    <row r="191" spans="1:10" x14ac:dyDescent="0.7">
      <c r="A191" s="165"/>
      <c r="B191" s="105" t="s">
        <v>448</v>
      </c>
      <c r="C191" s="90" t="s">
        <v>13</v>
      </c>
      <c r="D191" s="90" t="s">
        <v>173</v>
      </c>
      <c r="E191" s="88">
        <f>6+6</f>
        <v>12</v>
      </c>
      <c r="F191" s="88">
        <v>1.5</v>
      </c>
      <c r="G191" s="88"/>
      <c r="H191" s="88">
        <v>0.45</v>
      </c>
      <c r="I191" s="90">
        <f t="shared" si="17"/>
        <v>8.1</v>
      </c>
      <c r="J191" s="213"/>
    </row>
    <row r="192" spans="1:10" x14ac:dyDescent="0.7">
      <c r="A192" s="165"/>
      <c r="B192" s="105" t="s">
        <v>448</v>
      </c>
      <c r="C192" s="90" t="s">
        <v>13</v>
      </c>
      <c r="D192" s="90" t="s">
        <v>173</v>
      </c>
      <c r="E192" s="88">
        <f>1+1</f>
        <v>2</v>
      </c>
      <c r="F192" s="88">
        <v>3.6</v>
      </c>
      <c r="G192" s="88"/>
      <c r="H192" s="88">
        <v>0.45</v>
      </c>
      <c r="I192" s="90">
        <f t="shared" si="17"/>
        <v>3.24</v>
      </c>
      <c r="J192" s="213"/>
    </row>
    <row r="193" spans="1:10" x14ac:dyDescent="0.7">
      <c r="A193" s="165"/>
      <c r="B193" s="105" t="s">
        <v>448</v>
      </c>
      <c r="C193" s="90" t="s">
        <v>13</v>
      </c>
      <c r="D193" s="90" t="s">
        <v>173</v>
      </c>
      <c r="E193" s="88">
        <f>1+1</f>
        <v>2</v>
      </c>
      <c r="F193" s="88">
        <v>0.7</v>
      </c>
      <c r="G193" s="88"/>
      <c r="H193" s="88">
        <v>0.45</v>
      </c>
      <c r="I193" s="90">
        <f t="shared" si="17"/>
        <v>0.63</v>
      </c>
      <c r="J193" s="213"/>
    </row>
    <row r="194" spans="1:10" x14ac:dyDescent="0.7">
      <c r="A194" s="165"/>
      <c r="B194" s="105" t="s">
        <v>448</v>
      </c>
      <c r="C194" s="90" t="s">
        <v>13</v>
      </c>
      <c r="D194" s="90" t="s">
        <v>173</v>
      </c>
      <c r="E194" s="88">
        <f>(4+4)</f>
        <v>8</v>
      </c>
      <c r="F194" s="88">
        <v>0.6</v>
      </c>
      <c r="G194" s="88"/>
      <c r="H194" s="88">
        <v>0.45</v>
      </c>
      <c r="I194" s="90">
        <f t="shared" si="17"/>
        <v>2.16</v>
      </c>
      <c r="J194" s="213"/>
    </row>
    <row r="195" spans="1:10" ht="34" x14ac:dyDescent="0.7">
      <c r="A195" s="165"/>
      <c r="B195" s="105" t="s">
        <v>449</v>
      </c>
      <c r="C195" s="90" t="s">
        <v>13</v>
      </c>
      <c r="D195" s="90" t="s">
        <v>173</v>
      </c>
      <c r="E195" s="88">
        <f>1+1</f>
        <v>2</v>
      </c>
      <c r="F195" s="88">
        <f>1.61+0.14+1.61</f>
        <v>3.3600000000000003</v>
      </c>
      <c r="G195" s="88"/>
      <c r="H195" s="88">
        <v>0.45</v>
      </c>
      <c r="I195" s="90">
        <f t="shared" si="17"/>
        <v>3.0240000000000005</v>
      </c>
      <c r="J195" s="213"/>
    </row>
    <row r="196" spans="1:10" ht="34" x14ac:dyDescent="0.7">
      <c r="A196" s="165"/>
      <c r="B196" s="105" t="s">
        <v>449</v>
      </c>
      <c r="C196" s="90" t="s">
        <v>13</v>
      </c>
      <c r="D196" s="90" t="s">
        <v>173</v>
      </c>
      <c r="E196" s="88">
        <f>1+1</f>
        <v>2</v>
      </c>
      <c r="F196" s="88">
        <f>0.43+0.15+0.43</f>
        <v>1.01</v>
      </c>
      <c r="G196" s="88"/>
      <c r="H196" s="88">
        <v>0.45</v>
      </c>
      <c r="I196" s="90">
        <f t="shared" si="17"/>
        <v>0.90900000000000003</v>
      </c>
      <c r="J196" s="213"/>
    </row>
    <row r="197" spans="1:10" ht="34" x14ac:dyDescent="0.7">
      <c r="A197" s="165"/>
      <c r="B197" s="105" t="s">
        <v>449</v>
      </c>
      <c r="C197" s="90" t="s">
        <v>13</v>
      </c>
      <c r="D197" s="90" t="s">
        <v>173</v>
      </c>
      <c r="E197" s="88">
        <f>1+1</f>
        <v>2</v>
      </c>
      <c r="F197" s="88">
        <v>0.5</v>
      </c>
      <c r="G197" s="88"/>
      <c r="H197" s="88">
        <v>0.45</v>
      </c>
      <c r="I197" s="90">
        <f t="shared" si="17"/>
        <v>0.45</v>
      </c>
      <c r="J197" s="213"/>
    </row>
    <row r="198" spans="1:10" ht="34" x14ac:dyDescent="0.7">
      <c r="A198" s="165"/>
      <c r="B198" s="105" t="s">
        <v>449</v>
      </c>
      <c r="C198" s="90" t="s">
        <v>13</v>
      </c>
      <c r="D198" s="90" t="s">
        <v>173</v>
      </c>
      <c r="E198" s="88">
        <f>2+2</f>
        <v>4</v>
      </c>
      <c r="F198" s="88">
        <f>1.6+1.9</f>
        <v>3.5</v>
      </c>
      <c r="G198" s="88"/>
      <c r="H198" s="88">
        <v>0.45</v>
      </c>
      <c r="I198" s="90">
        <f t="shared" si="17"/>
        <v>6.3</v>
      </c>
      <c r="J198" s="213"/>
    </row>
    <row r="199" spans="1:10" ht="34" x14ac:dyDescent="0.7">
      <c r="A199" s="165"/>
      <c r="B199" s="105" t="s">
        <v>449</v>
      </c>
      <c r="C199" s="90" t="s">
        <v>13</v>
      </c>
      <c r="D199" s="90" t="s">
        <v>173</v>
      </c>
      <c r="E199" s="88">
        <f>2*2*2</f>
        <v>8</v>
      </c>
      <c r="F199" s="88">
        <v>0.6</v>
      </c>
      <c r="G199" s="88"/>
      <c r="H199" s="88">
        <v>0.45</v>
      </c>
      <c r="I199" s="90">
        <f t="shared" si="17"/>
        <v>2.16</v>
      </c>
      <c r="J199" s="213"/>
    </row>
    <row r="200" spans="1:10" ht="34" x14ac:dyDescent="0.7">
      <c r="A200" s="165"/>
      <c r="B200" s="105" t="s">
        <v>449</v>
      </c>
      <c r="C200" s="90" t="s">
        <v>13</v>
      </c>
      <c r="D200" s="90" t="s">
        <v>173</v>
      </c>
      <c r="E200" s="88">
        <f>1+1</f>
        <v>2</v>
      </c>
      <c r="F200" s="88">
        <v>0.44</v>
      </c>
      <c r="G200" s="88"/>
      <c r="H200" s="88">
        <v>0.45</v>
      </c>
      <c r="I200" s="90">
        <f t="shared" si="17"/>
        <v>0.39600000000000002</v>
      </c>
      <c r="J200" s="213"/>
    </row>
    <row r="201" spans="1:10" ht="34" x14ac:dyDescent="0.7">
      <c r="A201" s="165"/>
      <c r="B201" s="105" t="s">
        <v>449</v>
      </c>
      <c r="C201" s="90" t="s">
        <v>13</v>
      </c>
      <c r="D201" s="90" t="s">
        <v>173</v>
      </c>
      <c r="E201" s="88">
        <f>3*2*2</f>
        <v>12</v>
      </c>
      <c r="F201" s="88">
        <v>1.6</v>
      </c>
      <c r="G201" s="88"/>
      <c r="H201" s="88">
        <v>0.45</v>
      </c>
      <c r="I201" s="90">
        <f t="shared" si="17"/>
        <v>8.6400000000000023</v>
      </c>
      <c r="J201" s="213"/>
    </row>
    <row r="202" spans="1:10" x14ac:dyDescent="0.7">
      <c r="A202" s="165"/>
      <c r="B202" s="105" t="s">
        <v>420</v>
      </c>
      <c r="C202" s="90" t="s">
        <v>13</v>
      </c>
      <c r="D202" s="90" t="s">
        <v>173</v>
      </c>
      <c r="E202" s="88">
        <v>1</v>
      </c>
      <c r="F202" s="88">
        <v>0.9</v>
      </c>
      <c r="G202" s="88"/>
      <c r="H202" s="88">
        <v>1</v>
      </c>
      <c r="I202" s="90">
        <f t="shared" si="17"/>
        <v>0.9</v>
      </c>
      <c r="J202" s="213"/>
    </row>
    <row r="203" spans="1:10" ht="34" x14ac:dyDescent="0.7">
      <c r="A203" s="165" t="s">
        <v>438</v>
      </c>
      <c r="B203" s="217" t="s">
        <v>450</v>
      </c>
      <c r="C203" s="88"/>
      <c r="D203" s="88"/>
      <c r="E203" s="88"/>
      <c r="F203" s="88"/>
      <c r="G203" s="88"/>
      <c r="H203" s="88"/>
      <c r="I203" s="90"/>
      <c r="J203" s="213"/>
    </row>
    <row r="204" spans="1:10" x14ac:dyDescent="0.7">
      <c r="A204" s="165"/>
      <c r="B204" s="105" t="s">
        <v>451</v>
      </c>
      <c r="C204" s="88" t="s">
        <v>13</v>
      </c>
      <c r="D204" s="88" t="s">
        <v>173</v>
      </c>
      <c r="E204" s="88">
        <f>2*14</f>
        <v>28</v>
      </c>
      <c r="F204" s="88">
        <v>3.1</v>
      </c>
      <c r="G204" s="88"/>
      <c r="H204" s="88">
        <v>0.75</v>
      </c>
      <c r="I204" s="90">
        <f t="shared" si="17"/>
        <v>65.099999999999994</v>
      </c>
      <c r="J204" s="213"/>
    </row>
    <row r="205" spans="1:10" ht="34" x14ac:dyDescent="0.7">
      <c r="A205" s="165" t="s">
        <v>452</v>
      </c>
      <c r="B205" s="217" t="s">
        <v>453</v>
      </c>
      <c r="C205" s="88"/>
      <c r="D205" s="88"/>
      <c r="E205" s="88"/>
      <c r="F205" s="88"/>
      <c r="G205" s="88"/>
      <c r="H205" s="88"/>
      <c r="I205" s="90"/>
      <c r="J205" s="213"/>
    </row>
    <row r="206" spans="1:10" x14ac:dyDescent="0.7">
      <c r="A206" s="165"/>
      <c r="B206" s="105" t="s">
        <v>451</v>
      </c>
      <c r="C206" s="88" t="s">
        <v>13</v>
      </c>
      <c r="D206" s="88" t="s">
        <v>173</v>
      </c>
      <c r="E206" s="88">
        <v>2</v>
      </c>
      <c r="F206" s="88">
        <v>3.13</v>
      </c>
      <c r="G206" s="88"/>
      <c r="H206" s="88">
        <v>0.75</v>
      </c>
      <c r="I206" s="90">
        <f>PRODUCT(E206:H206)</f>
        <v>4.6950000000000003</v>
      </c>
      <c r="J206" s="213"/>
    </row>
    <row r="207" spans="1:10" x14ac:dyDescent="0.7">
      <c r="A207" s="158" t="s">
        <v>454</v>
      </c>
      <c r="B207" s="217" t="s">
        <v>455</v>
      </c>
      <c r="C207" s="90"/>
      <c r="D207" s="90"/>
      <c r="E207" s="90"/>
      <c r="F207" s="90"/>
      <c r="G207" s="90"/>
      <c r="H207" s="90"/>
      <c r="I207" s="90"/>
      <c r="J207" s="213"/>
    </row>
    <row r="208" spans="1:10" x14ac:dyDescent="0.7">
      <c r="A208" s="165"/>
      <c r="B208" s="105" t="s">
        <v>456</v>
      </c>
      <c r="C208" s="90" t="s">
        <v>42</v>
      </c>
      <c r="D208" s="90" t="s">
        <v>173</v>
      </c>
      <c r="E208" s="90">
        <v>2</v>
      </c>
      <c r="F208" s="77">
        <v>93</v>
      </c>
      <c r="G208" s="90"/>
      <c r="H208" s="90">
        <v>2.2999999999999998</v>
      </c>
      <c r="I208" s="110">
        <f>PRODUCT(E208:H208)</f>
        <v>427.79999999999995</v>
      </c>
      <c r="J208" s="213"/>
    </row>
    <row r="209" spans="1:10" x14ac:dyDescent="0.7">
      <c r="A209" s="165"/>
      <c r="B209" s="105" t="s">
        <v>416</v>
      </c>
      <c r="C209" s="90" t="s">
        <v>42</v>
      </c>
      <c r="D209" s="90" t="s">
        <v>173</v>
      </c>
      <c r="E209" s="90">
        <v>1</v>
      </c>
      <c r="F209" s="77">
        <v>93</v>
      </c>
      <c r="G209" s="77">
        <v>2.08</v>
      </c>
      <c r="H209" s="90"/>
      <c r="I209" s="110">
        <f>PRODUCT(E209:H209)</f>
        <v>193.44</v>
      </c>
      <c r="J209" s="213"/>
    </row>
    <row r="210" spans="1:10" ht="17.5" thickBot="1" x14ac:dyDescent="0.75">
      <c r="A210" s="377" t="s">
        <v>457</v>
      </c>
      <c r="B210" s="378"/>
      <c r="C210" s="378"/>
      <c r="D210" s="378"/>
      <c r="E210" s="378"/>
      <c r="F210" s="378"/>
      <c r="G210" s="378"/>
      <c r="H210" s="379"/>
      <c r="I210" s="215">
        <f>SUM(I4:I209)</f>
        <v>2280.6934750000014</v>
      </c>
      <c r="J210" s="216"/>
    </row>
  </sheetData>
  <autoFilter ref="A3:J210" xr:uid="{32261B6D-F8C0-4A03-8B54-B8AAE6A5B96D}"/>
  <mergeCells count="20">
    <mergeCell ref="T2:T3"/>
    <mergeCell ref="E2:E3"/>
    <mergeCell ref="I2:I3"/>
    <mergeCell ref="Q2:S2"/>
    <mergeCell ref="A210:H210"/>
    <mergeCell ref="A1:J1"/>
    <mergeCell ref="L1:U1"/>
    <mergeCell ref="L2:L3"/>
    <mergeCell ref="M2:M3"/>
    <mergeCell ref="N2:N3"/>
    <mergeCell ref="U2:U3"/>
    <mergeCell ref="A2:A3"/>
    <mergeCell ref="J2:J3"/>
    <mergeCell ref="F2:H2"/>
    <mergeCell ref="C2:C3"/>
    <mergeCell ref="B2:B3"/>
    <mergeCell ref="L114:S114"/>
    <mergeCell ref="D2:D3"/>
    <mergeCell ref="O2:O3"/>
    <mergeCell ref="P2:P3"/>
  </mergeCells>
  <pageMargins left="0.26" right="0.18" top="0.75" bottom="0.75" header="0.3" footer="0.3"/>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FB8C-84E3-4312-AA2E-86581C6F6373}">
  <sheetPr>
    <tabColor theme="7" tint="-0.249977111117893"/>
  </sheetPr>
  <dimension ref="A1:J5"/>
  <sheetViews>
    <sheetView zoomScale="110" zoomScaleNormal="110" workbookViewId="0">
      <pane xSplit="1" ySplit="3" topLeftCell="B4" activePane="bottomRight" state="frozen"/>
      <selection pane="topRight" activeCell="B4" sqref="B4"/>
      <selection pane="bottomLeft" activeCell="B4" sqref="B4"/>
      <selection pane="bottomRight" activeCell="B4" sqref="B4"/>
    </sheetView>
  </sheetViews>
  <sheetFormatPr defaultColWidth="8.7265625" defaultRowHeight="17" x14ac:dyDescent="0.7"/>
  <cols>
    <col min="1" max="1" width="5.1796875" style="67" bestFit="1" customWidth="1"/>
    <col min="2" max="2" width="48.81640625" style="74" customWidth="1"/>
    <col min="3" max="4" width="9.1796875" style="62" customWidth="1"/>
    <col min="5" max="5" width="6.453125" style="62" customWidth="1"/>
    <col min="6" max="6" width="12.1796875" style="62" customWidth="1"/>
    <col min="7" max="7" width="10.7265625" style="62" customWidth="1"/>
    <col min="8" max="8" width="12.1796875" style="62" customWidth="1"/>
    <col min="9" max="9" width="11.54296875" style="62" customWidth="1"/>
    <col min="10" max="10" width="13.1796875" style="74" customWidth="1"/>
    <col min="11" max="16384" width="8.7265625" style="74"/>
  </cols>
  <sheetData>
    <row r="1" spans="1:10" x14ac:dyDescent="0.7">
      <c r="A1" s="385" t="s">
        <v>458</v>
      </c>
      <c r="B1" s="385"/>
      <c r="C1" s="385"/>
      <c r="D1" s="385"/>
      <c r="E1" s="385"/>
      <c r="F1" s="385"/>
      <c r="G1" s="385"/>
      <c r="H1" s="385"/>
      <c r="I1" s="385"/>
      <c r="J1" s="385"/>
    </row>
    <row r="2" spans="1:10" s="60" customFormat="1" x14ac:dyDescent="0.35">
      <c r="A2" s="293" t="s">
        <v>2</v>
      </c>
      <c r="B2" s="299" t="s">
        <v>160</v>
      </c>
      <c r="C2" s="299" t="s">
        <v>161</v>
      </c>
      <c r="D2" s="299" t="s">
        <v>162</v>
      </c>
      <c r="E2" s="299" t="s">
        <v>25</v>
      </c>
      <c r="F2" s="299" t="s">
        <v>163</v>
      </c>
      <c r="G2" s="299"/>
      <c r="H2" s="299"/>
      <c r="I2" s="293" t="s">
        <v>5</v>
      </c>
      <c r="J2" s="299" t="s">
        <v>8</v>
      </c>
    </row>
    <row r="3" spans="1:10" s="60" customFormat="1" x14ac:dyDescent="0.35">
      <c r="A3" s="293"/>
      <c r="B3" s="299"/>
      <c r="C3" s="299"/>
      <c r="D3" s="299"/>
      <c r="E3" s="299"/>
      <c r="F3" s="271" t="s">
        <v>165</v>
      </c>
      <c r="G3" s="271" t="s">
        <v>166</v>
      </c>
      <c r="H3" s="271" t="s">
        <v>167</v>
      </c>
      <c r="I3" s="293"/>
      <c r="J3" s="299"/>
    </row>
    <row r="4" spans="1:10" x14ac:dyDescent="0.7">
      <c r="A4" s="103">
        <v>1</v>
      </c>
      <c r="B4" s="86" t="s">
        <v>459</v>
      </c>
      <c r="C4" s="87"/>
      <c r="D4" s="87"/>
      <c r="E4" s="87"/>
      <c r="F4" s="87"/>
      <c r="G4" s="87"/>
      <c r="H4" s="87"/>
      <c r="I4" s="87"/>
      <c r="J4" s="104"/>
    </row>
    <row r="5" spans="1:10" ht="34" x14ac:dyDescent="0.7">
      <c r="A5" s="90" t="s">
        <v>177</v>
      </c>
      <c r="B5" s="105" t="s">
        <v>460</v>
      </c>
      <c r="C5" s="90" t="s">
        <v>91</v>
      </c>
      <c r="D5" s="90" t="s">
        <v>181</v>
      </c>
      <c r="E5" s="77">
        <v>12</v>
      </c>
      <c r="F5" s="90"/>
      <c r="G5" s="90"/>
      <c r="H5" s="90"/>
      <c r="I5" s="77">
        <f>PRODUCT(E5:H5)</f>
        <v>12</v>
      </c>
      <c r="J5" s="89"/>
    </row>
  </sheetData>
  <mergeCells count="9">
    <mergeCell ref="A1:J1"/>
    <mergeCell ref="A2:A3"/>
    <mergeCell ref="B2:B3"/>
    <mergeCell ref="C2:C3"/>
    <mergeCell ref="D2:D3"/>
    <mergeCell ref="E2:E3"/>
    <mergeCell ref="F2:H2"/>
    <mergeCell ref="I2:I3"/>
    <mergeCell ref="J2:J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9CE5-65E6-47C3-AD5D-91E741ED5A79}">
  <sheetPr>
    <tabColor theme="7" tint="-0.249977111117893"/>
  </sheetPr>
  <dimension ref="A3:J9"/>
  <sheetViews>
    <sheetView workbookViewId="0">
      <selection activeCell="B3" sqref="B3:B4"/>
    </sheetView>
  </sheetViews>
  <sheetFormatPr defaultColWidth="8.7265625" defaultRowHeight="17" x14ac:dyDescent="0.7"/>
  <cols>
    <col min="1" max="1" width="5.1796875" style="74" bestFit="1" customWidth="1"/>
    <col min="2" max="2" width="48.81640625" style="74" customWidth="1"/>
    <col min="3" max="5" width="8.7265625" style="74"/>
    <col min="6" max="6" width="6.453125" style="74" bestFit="1" customWidth="1"/>
    <col min="7" max="7" width="7.54296875" style="74" bestFit="1" customWidth="1"/>
    <col min="8" max="8" width="6.453125" style="74" bestFit="1" customWidth="1"/>
    <col min="9" max="9" width="9.81640625" style="74" customWidth="1"/>
    <col min="10" max="10" width="66.7265625" style="74" customWidth="1"/>
    <col min="11" max="16384" width="8.7265625" style="74"/>
  </cols>
  <sheetData>
    <row r="3" spans="1:10" x14ac:dyDescent="0.7">
      <c r="A3" s="374" t="s">
        <v>2</v>
      </c>
      <c r="B3" s="375" t="s">
        <v>160</v>
      </c>
      <c r="C3" s="375" t="s">
        <v>161</v>
      </c>
      <c r="D3" s="375" t="s">
        <v>162</v>
      </c>
      <c r="E3" s="375" t="s">
        <v>25</v>
      </c>
      <c r="F3" s="375" t="s">
        <v>163</v>
      </c>
      <c r="G3" s="375"/>
      <c r="H3" s="375"/>
      <c r="I3" s="374" t="s">
        <v>5</v>
      </c>
      <c r="J3" s="375" t="s">
        <v>8</v>
      </c>
    </row>
    <row r="4" spans="1:10" x14ac:dyDescent="0.7">
      <c r="A4" s="374"/>
      <c r="B4" s="375"/>
      <c r="C4" s="375"/>
      <c r="D4" s="375"/>
      <c r="E4" s="375"/>
      <c r="F4" s="280" t="s">
        <v>165</v>
      </c>
      <c r="G4" s="280" t="s">
        <v>166</v>
      </c>
      <c r="H4" s="280" t="s">
        <v>167</v>
      </c>
      <c r="I4" s="374"/>
      <c r="J4" s="375"/>
    </row>
    <row r="5" spans="1:10" s="96" customFormat="1" ht="24.65" customHeight="1" x14ac:dyDescent="0.35">
      <c r="A5" s="90">
        <v>1</v>
      </c>
      <c r="B5" s="102" t="s">
        <v>461</v>
      </c>
      <c r="C5" s="90" t="s">
        <v>25</v>
      </c>
      <c r="D5" s="90"/>
      <c r="E5" s="77">
        <v>600</v>
      </c>
      <c r="F5" s="90"/>
      <c r="G5" s="102"/>
      <c r="H5" s="102"/>
      <c r="I5" s="77">
        <f>PRODUCT(E5:H5)</f>
        <v>600</v>
      </c>
      <c r="J5" s="102"/>
    </row>
    <row r="6" spans="1:10" ht="45" customHeight="1" x14ac:dyDescent="0.7">
      <c r="A6" s="90">
        <v>2</v>
      </c>
      <c r="B6" s="76" t="s">
        <v>462</v>
      </c>
      <c r="C6" s="90" t="s">
        <v>25</v>
      </c>
      <c r="D6" s="90"/>
      <c r="E6" s="77">
        <v>50</v>
      </c>
      <c r="F6" s="102"/>
      <c r="G6" s="102"/>
      <c r="H6" s="102"/>
      <c r="I6" s="77">
        <f>PRODUCT(E6:H6)</f>
        <v>50</v>
      </c>
      <c r="J6" s="91" t="s">
        <v>463</v>
      </c>
    </row>
    <row r="7" spans="1:10" ht="21.65" customHeight="1" x14ac:dyDescent="0.7">
      <c r="A7" s="90">
        <v>3</v>
      </c>
      <c r="B7" s="102" t="s">
        <v>464</v>
      </c>
      <c r="C7" s="90" t="s">
        <v>25</v>
      </c>
      <c r="D7" s="102"/>
      <c r="E7" s="77">
        <v>100</v>
      </c>
      <c r="F7" s="102"/>
      <c r="G7" s="102"/>
      <c r="H7" s="102"/>
      <c r="I7" s="77">
        <f>PRODUCT(E7:H7)</f>
        <v>100</v>
      </c>
      <c r="J7" s="89"/>
    </row>
    <row r="8" spans="1:10" ht="24.65" customHeight="1" x14ac:dyDescent="0.7">
      <c r="A8" s="90">
        <v>4</v>
      </c>
      <c r="B8" s="102" t="s">
        <v>465</v>
      </c>
      <c r="C8" s="90" t="s">
        <v>25</v>
      </c>
      <c r="D8" s="102"/>
      <c r="E8" s="77">
        <v>100</v>
      </c>
      <c r="F8" s="102"/>
      <c r="G8" s="102"/>
      <c r="H8" s="102"/>
      <c r="I8" s="77">
        <f>PRODUCT(E8:H8)</f>
        <v>100</v>
      </c>
      <c r="J8" s="89"/>
    </row>
    <row r="9" spans="1:10" ht="27" customHeight="1" x14ac:dyDescent="0.7">
      <c r="A9" s="90">
        <v>5</v>
      </c>
      <c r="B9" s="102" t="s">
        <v>466</v>
      </c>
      <c r="C9" s="90" t="s">
        <v>25</v>
      </c>
      <c r="D9" s="102"/>
      <c r="E9" s="77">
        <v>10</v>
      </c>
      <c r="F9" s="102"/>
      <c r="G9" s="102"/>
      <c r="H9" s="102"/>
      <c r="I9" s="77">
        <f>PRODUCT(E9:H9)</f>
        <v>10</v>
      </c>
      <c r="J9" s="89"/>
    </row>
  </sheetData>
  <mergeCells count="8">
    <mergeCell ref="I3:I4"/>
    <mergeCell ref="J3:J4"/>
    <mergeCell ref="A3:A4"/>
    <mergeCell ref="B3:B4"/>
    <mergeCell ref="C3:C4"/>
    <mergeCell ref="D3:D4"/>
    <mergeCell ref="E3:E4"/>
    <mergeCell ref="F3:H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AD2C-AB43-4F8C-B5F5-02AFBFF1D594}">
  <sheetPr>
    <tabColor theme="7" tint="-0.249977111117893"/>
  </sheetPr>
  <dimension ref="A1:J32"/>
  <sheetViews>
    <sheetView workbookViewId="0">
      <selection activeCell="B4" sqref="B4"/>
    </sheetView>
  </sheetViews>
  <sheetFormatPr defaultColWidth="9.1796875" defaultRowHeight="17" x14ac:dyDescent="0.7"/>
  <cols>
    <col min="1" max="1" width="6.7265625" style="62" customWidth="1"/>
    <col min="2" max="2" width="48.81640625" style="67" customWidth="1"/>
    <col min="3" max="8" width="9.1796875" style="67"/>
    <col min="9" max="9" width="10.1796875" style="67" customWidth="1"/>
    <col min="10" max="16384" width="9.1796875" style="67"/>
  </cols>
  <sheetData>
    <row r="1" spans="1:10" x14ac:dyDescent="0.7">
      <c r="A1" s="386" t="s">
        <v>467</v>
      </c>
      <c r="B1" s="386"/>
      <c r="C1" s="386"/>
      <c r="D1" s="386"/>
      <c r="E1" s="386"/>
      <c r="F1" s="386"/>
      <c r="G1" s="386"/>
      <c r="H1" s="386"/>
      <c r="I1" s="386"/>
      <c r="J1" s="386"/>
    </row>
    <row r="2" spans="1:10" x14ac:dyDescent="0.7">
      <c r="A2" s="374" t="s">
        <v>2</v>
      </c>
      <c r="B2" s="375" t="s">
        <v>160</v>
      </c>
      <c r="C2" s="375" t="s">
        <v>161</v>
      </c>
      <c r="D2" s="375" t="s">
        <v>162</v>
      </c>
      <c r="E2" s="375" t="s">
        <v>25</v>
      </c>
      <c r="F2" s="375" t="s">
        <v>163</v>
      </c>
      <c r="G2" s="375"/>
      <c r="H2" s="375"/>
      <c r="I2" s="374" t="s">
        <v>5</v>
      </c>
      <c r="J2" s="375" t="s">
        <v>8</v>
      </c>
    </row>
    <row r="3" spans="1:10" x14ac:dyDescent="0.7">
      <c r="A3" s="374"/>
      <c r="B3" s="375"/>
      <c r="C3" s="375"/>
      <c r="D3" s="375"/>
      <c r="E3" s="375"/>
      <c r="F3" s="280" t="s">
        <v>165</v>
      </c>
      <c r="G3" s="280" t="s">
        <v>166</v>
      </c>
      <c r="H3" s="280" t="s">
        <v>167</v>
      </c>
      <c r="I3" s="374"/>
      <c r="J3" s="375"/>
    </row>
    <row r="4" spans="1:10" x14ac:dyDescent="0.7">
      <c r="A4" s="99"/>
      <c r="B4" s="280" t="s">
        <v>468</v>
      </c>
      <c r="C4" s="280"/>
      <c r="D4" s="280"/>
      <c r="E4" s="280"/>
      <c r="F4" s="280"/>
      <c r="G4" s="280"/>
      <c r="H4" s="280"/>
      <c r="I4" s="279"/>
      <c r="J4" s="280"/>
    </row>
    <row r="5" spans="1:10" ht="15" customHeight="1" x14ac:dyDescent="0.7">
      <c r="A5" s="387">
        <v>1</v>
      </c>
      <c r="B5" s="278" t="s">
        <v>294</v>
      </c>
      <c r="C5" s="90"/>
      <c r="D5" s="90"/>
      <c r="E5" s="90"/>
      <c r="F5" s="90"/>
      <c r="G5" s="90"/>
      <c r="H5" s="90"/>
      <c r="I5" s="90"/>
      <c r="J5" s="88"/>
    </row>
    <row r="6" spans="1:10" x14ac:dyDescent="0.7">
      <c r="A6" s="388"/>
      <c r="B6" s="88" t="s">
        <v>416</v>
      </c>
      <c r="C6" s="90" t="s">
        <v>13</v>
      </c>
      <c r="D6" s="90" t="s">
        <v>181</v>
      </c>
      <c r="E6" s="90">
        <v>1</v>
      </c>
      <c r="F6" s="90">
        <v>3.98</v>
      </c>
      <c r="G6" s="90">
        <v>3</v>
      </c>
      <c r="H6" s="90"/>
      <c r="I6" s="90">
        <f>PRODUCT(E6:H6)</f>
        <v>11.94</v>
      </c>
      <c r="J6" s="88"/>
    </row>
    <row r="7" spans="1:10" x14ac:dyDescent="0.7">
      <c r="A7" s="387">
        <v>2</v>
      </c>
      <c r="B7" s="278" t="s">
        <v>297</v>
      </c>
      <c r="C7" s="90"/>
      <c r="D7" s="90"/>
      <c r="E7" s="90"/>
      <c r="F7" s="90"/>
      <c r="G7" s="90"/>
      <c r="H7" s="90"/>
      <c r="I7" s="90"/>
      <c r="J7" s="88"/>
    </row>
    <row r="8" spans="1:10" x14ac:dyDescent="0.7">
      <c r="A8" s="388"/>
      <c r="B8" s="88" t="s">
        <v>416</v>
      </c>
      <c r="C8" s="90" t="s">
        <v>13</v>
      </c>
      <c r="D8" s="90" t="s">
        <v>181</v>
      </c>
      <c r="E8" s="90">
        <v>1</v>
      </c>
      <c r="F8" s="90">
        <v>4.0549999999999997</v>
      </c>
      <c r="G8" s="90">
        <v>3.8849999999999998</v>
      </c>
      <c r="H8" s="90"/>
      <c r="I8" s="90">
        <f>PRODUCT(E8:H8)</f>
        <v>15.753674999999998</v>
      </c>
      <c r="J8" s="88"/>
    </row>
    <row r="9" spans="1:10" x14ac:dyDescent="0.7">
      <c r="A9" s="387">
        <v>3</v>
      </c>
      <c r="B9" s="278" t="s">
        <v>298</v>
      </c>
      <c r="C9" s="90"/>
      <c r="D9" s="90"/>
      <c r="E9" s="90"/>
      <c r="F9" s="90"/>
      <c r="G9" s="90"/>
      <c r="H9" s="90"/>
      <c r="I9" s="90"/>
      <c r="J9" s="88"/>
    </row>
    <row r="10" spans="1:10" x14ac:dyDescent="0.7">
      <c r="A10" s="389"/>
      <c r="B10" s="88" t="s">
        <v>469</v>
      </c>
      <c r="C10" s="90" t="s">
        <v>13</v>
      </c>
      <c r="D10" s="90" t="s">
        <v>181</v>
      </c>
      <c r="E10" s="90">
        <v>1</v>
      </c>
      <c r="F10" s="90">
        <v>6.1</v>
      </c>
      <c r="G10" s="90">
        <v>7.83</v>
      </c>
      <c r="H10" s="90"/>
      <c r="I10" s="90">
        <f>PRODUCT(E10:H10)</f>
        <v>47.762999999999998</v>
      </c>
      <c r="J10" s="88"/>
    </row>
    <row r="11" spans="1:10" x14ac:dyDescent="0.7">
      <c r="A11" s="388"/>
      <c r="B11" s="88" t="s">
        <v>470</v>
      </c>
      <c r="C11" s="90" t="s">
        <v>13</v>
      </c>
      <c r="D11" s="90" t="s">
        <v>181</v>
      </c>
      <c r="E11" s="90">
        <v>1</v>
      </c>
      <c r="F11" s="90">
        <v>8.3800000000000008</v>
      </c>
      <c r="G11" s="90">
        <v>1.2</v>
      </c>
      <c r="H11" s="90"/>
      <c r="I11" s="90">
        <f>PRODUCT(E11:H11)</f>
        <v>10.056000000000001</v>
      </c>
      <c r="J11" s="88"/>
    </row>
    <row r="12" spans="1:10" x14ac:dyDescent="0.7">
      <c r="A12" s="387">
        <v>4</v>
      </c>
      <c r="B12" s="278" t="s">
        <v>305</v>
      </c>
      <c r="C12" s="90"/>
      <c r="D12" s="90"/>
      <c r="E12" s="90"/>
      <c r="F12" s="90"/>
      <c r="G12" s="90"/>
      <c r="H12" s="90"/>
      <c r="I12" s="90"/>
      <c r="J12" s="88"/>
    </row>
    <row r="13" spans="1:10" x14ac:dyDescent="0.7">
      <c r="A13" s="388"/>
      <c r="B13" s="88" t="s">
        <v>416</v>
      </c>
      <c r="C13" s="90" t="s">
        <v>13</v>
      </c>
      <c r="D13" s="90" t="s">
        <v>181</v>
      </c>
      <c r="E13" s="90">
        <v>1</v>
      </c>
      <c r="F13" s="90">
        <v>4.01</v>
      </c>
      <c r="G13" s="90">
        <v>3.72</v>
      </c>
      <c r="H13" s="90"/>
      <c r="I13" s="90">
        <f>PRODUCT(E13:H13)</f>
        <v>14.917199999999999</v>
      </c>
      <c r="J13" s="88"/>
    </row>
    <row r="14" spans="1:10" x14ac:dyDescent="0.7">
      <c r="A14" s="387">
        <v>5</v>
      </c>
      <c r="B14" s="278" t="s">
        <v>306</v>
      </c>
      <c r="C14" s="90"/>
      <c r="D14" s="90"/>
      <c r="E14" s="90"/>
      <c r="F14" s="90"/>
      <c r="G14" s="90"/>
      <c r="H14" s="90"/>
      <c r="I14" s="90"/>
      <c r="J14" s="88"/>
    </row>
    <row r="15" spans="1:10" x14ac:dyDescent="0.7">
      <c r="A15" s="388"/>
      <c r="B15" s="88" t="s">
        <v>416</v>
      </c>
      <c r="C15" s="90" t="s">
        <v>13</v>
      </c>
      <c r="D15" s="90" t="s">
        <v>181</v>
      </c>
      <c r="E15" s="90">
        <v>1</v>
      </c>
      <c r="F15" s="90">
        <v>3.7250000000000001</v>
      </c>
      <c r="G15" s="90">
        <v>4.03</v>
      </c>
      <c r="H15" s="90"/>
      <c r="I15" s="90">
        <f>PRODUCT(E15:H15)</f>
        <v>15.011750000000001</v>
      </c>
      <c r="J15" s="88"/>
    </row>
    <row r="16" spans="1:10" x14ac:dyDescent="0.7">
      <c r="A16" s="387">
        <v>6</v>
      </c>
      <c r="B16" s="278" t="s">
        <v>307</v>
      </c>
      <c r="C16" s="90"/>
      <c r="D16" s="90"/>
      <c r="E16" s="90"/>
      <c r="F16" s="90"/>
      <c r="G16" s="90"/>
      <c r="H16" s="90"/>
      <c r="I16" s="90"/>
      <c r="J16" s="88"/>
    </row>
    <row r="17" spans="1:10" x14ac:dyDescent="0.7">
      <c r="A17" s="388"/>
      <c r="B17" s="88" t="s">
        <v>416</v>
      </c>
      <c r="C17" s="90" t="s">
        <v>13</v>
      </c>
      <c r="D17" s="90" t="s">
        <v>181</v>
      </c>
      <c r="E17" s="90">
        <v>1</v>
      </c>
      <c r="F17" s="90">
        <v>5.73</v>
      </c>
      <c r="G17" s="90">
        <v>3.85</v>
      </c>
      <c r="H17" s="90"/>
      <c r="I17" s="90">
        <f>PRODUCT(E17:H17)</f>
        <v>22.060500000000001</v>
      </c>
      <c r="J17" s="88"/>
    </row>
    <row r="18" spans="1:10" x14ac:dyDescent="0.7">
      <c r="A18" s="100"/>
      <c r="B18" s="101"/>
      <c r="C18" s="100"/>
      <c r="D18" s="100"/>
      <c r="E18" s="100"/>
      <c r="F18" s="100"/>
      <c r="G18" s="100"/>
      <c r="H18" s="100"/>
      <c r="I18" s="100"/>
      <c r="J18" s="101"/>
    </row>
    <row r="19" spans="1:10" x14ac:dyDescent="0.7">
      <c r="A19" s="90"/>
      <c r="B19" s="278" t="s">
        <v>471</v>
      </c>
      <c r="C19" s="90"/>
      <c r="D19" s="90"/>
      <c r="E19" s="90"/>
      <c r="F19" s="90"/>
      <c r="G19" s="90"/>
      <c r="H19" s="90"/>
      <c r="I19" s="90"/>
      <c r="J19" s="88"/>
    </row>
    <row r="20" spans="1:10" x14ac:dyDescent="0.7">
      <c r="A20" s="387">
        <v>1</v>
      </c>
      <c r="B20" s="278" t="s">
        <v>294</v>
      </c>
      <c r="C20" s="90"/>
      <c r="D20" s="90"/>
      <c r="E20" s="90"/>
      <c r="F20" s="90"/>
      <c r="G20" s="90"/>
      <c r="H20" s="90"/>
      <c r="I20" s="90"/>
      <c r="J20" s="88"/>
    </row>
    <row r="21" spans="1:10" x14ac:dyDescent="0.7">
      <c r="A21" s="388"/>
      <c r="B21" s="88" t="s">
        <v>416</v>
      </c>
      <c r="C21" s="90" t="s">
        <v>13</v>
      </c>
      <c r="D21" s="90" t="s">
        <v>181</v>
      </c>
      <c r="E21" s="90">
        <v>1</v>
      </c>
      <c r="F21" s="90">
        <v>5.65</v>
      </c>
      <c r="G21" s="90">
        <v>3.75</v>
      </c>
      <c r="H21" s="90"/>
      <c r="I21" s="90">
        <f>PRODUCT(E21:H21)</f>
        <v>21.1875</v>
      </c>
      <c r="J21" s="88"/>
    </row>
    <row r="22" spans="1:10" x14ac:dyDescent="0.7">
      <c r="A22" s="387">
        <v>2</v>
      </c>
      <c r="B22" s="278" t="s">
        <v>297</v>
      </c>
      <c r="C22" s="90"/>
      <c r="D22" s="90"/>
      <c r="E22" s="90"/>
      <c r="F22" s="90"/>
      <c r="G22" s="90"/>
      <c r="H22" s="90"/>
      <c r="I22" s="90"/>
      <c r="J22" s="88"/>
    </row>
    <row r="23" spans="1:10" x14ac:dyDescent="0.7">
      <c r="A23" s="388"/>
      <c r="B23" s="88" t="s">
        <v>416</v>
      </c>
      <c r="C23" s="90" t="s">
        <v>13</v>
      </c>
      <c r="D23" s="90" t="s">
        <v>181</v>
      </c>
      <c r="E23" s="90">
        <v>1</v>
      </c>
      <c r="F23" s="90">
        <v>4.12</v>
      </c>
      <c r="G23" s="90">
        <v>2.85</v>
      </c>
      <c r="H23" s="90"/>
      <c r="I23" s="90">
        <f>PRODUCT(E23:H23)</f>
        <v>11.742000000000001</v>
      </c>
      <c r="J23" s="88"/>
    </row>
    <row r="24" spans="1:10" x14ac:dyDescent="0.7">
      <c r="A24" s="387">
        <v>3</v>
      </c>
      <c r="B24" s="278" t="s">
        <v>298</v>
      </c>
      <c r="C24" s="90"/>
      <c r="D24" s="90"/>
      <c r="E24" s="90"/>
      <c r="F24" s="90"/>
      <c r="G24" s="90"/>
      <c r="H24" s="90"/>
      <c r="I24" s="90"/>
      <c r="J24" s="88"/>
    </row>
    <row r="25" spans="1:10" x14ac:dyDescent="0.7">
      <c r="A25" s="389"/>
      <c r="B25" s="88" t="s">
        <v>469</v>
      </c>
      <c r="C25" s="90" t="s">
        <v>13</v>
      </c>
      <c r="D25" s="90" t="s">
        <v>181</v>
      </c>
      <c r="E25" s="90">
        <v>1</v>
      </c>
      <c r="F25" s="90">
        <v>3.98</v>
      </c>
      <c r="G25" s="90">
        <v>3.2149999999999999</v>
      </c>
      <c r="H25" s="90"/>
      <c r="I25" s="90">
        <f>PRODUCT(E25:H25)</f>
        <v>12.7957</v>
      </c>
      <c r="J25" s="88"/>
    </row>
    <row r="26" spans="1:10" x14ac:dyDescent="0.7">
      <c r="A26" s="387">
        <v>4</v>
      </c>
      <c r="B26" s="278" t="s">
        <v>291</v>
      </c>
      <c r="C26" s="90"/>
      <c r="D26" s="90"/>
      <c r="E26" s="90"/>
      <c r="F26" s="90"/>
      <c r="G26" s="90"/>
      <c r="H26" s="90"/>
      <c r="I26" s="90"/>
      <c r="J26" s="88"/>
    </row>
    <row r="27" spans="1:10" x14ac:dyDescent="0.7">
      <c r="A27" s="388"/>
      <c r="B27" s="88" t="s">
        <v>416</v>
      </c>
      <c r="C27" s="90" t="s">
        <v>13</v>
      </c>
      <c r="D27" s="90" t="s">
        <v>181</v>
      </c>
      <c r="E27" s="90">
        <v>1</v>
      </c>
      <c r="F27" s="90">
        <v>3.7250000000000001</v>
      </c>
      <c r="G27" s="90">
        <v>9.4</v>
      </c>
      <c r="H27" s="90"/>
      <c r="I27" s="90">
        <f>PRODUCT(E27:H27)</f>
        <v>35.015000000000001</v>
      </c>
      <c r="J27" s="88"/>
    </row>
    <row r="28" spans="1:10" x14ac:dyDescent="0.7">
      <c r="A28" s="387">
        <v>5</v>
      </c>
      <c r="B28" s="278" t="s">
        <v>472</v>
      </c>
      <c r="C28" s="90"/>
      <c r="D28" s="90"/>
      <c r="E28" s="90"/>
      <c r="F28" s="90"/>
      <c r="G28" s="90"/>
      <c r="H28" s="90"/>
      <c r="I28" s="90"/>
      <c r="J28" s="88"/>
    </row>
    <row r="29" spans="1:10" x14ac:dyDescent="0.7">
      <c r="A29" s="388"/>
      <c r="B29" s="88" t="s">
        <v>416</v>
      </c>
      <c r="C29" s="90" t="s">
        <v>13</v>
      </c>
      <c r="D29" s="90" t="s">
        <v>181</v>
      </c>
      <c r="E29" s="90">
        <v>1</v>
      </c>
      <c r="F29" s="90">
        <v>5.75</v>
      </c>
      <c r="G29" s="90">
        <v>3.77</v>
      </c>
      <c r="H29" s="90"/>
      <c r="I29" s="90">
        <f>PRODUCT(E29:H29)</f>
        <v>21.677499999999998</v>
      </c>
      <c r="J29" s="88"/>
    </row>
    <row r="30" spans="1:10" x14ac:dyDescent="0.7">
      <c r="A30" s="387">
        <v>6</v>
      </c>
      <c r="B30" s="278" t="s">
        <v>303</v>
      </c>
      <c r="C30" s="90"/>
      <c r="D30" s="90"/>
      <c r="E30" s="90"/>
      <c r="F30" s="90"/>
      <c r="G30" s="90"/>
      <c r="H30" s="90"/>
      <c r="I30" s="90"/>
      <c r="J30" s="88"/>
    </row>
    <row r="31" spans="1:10" x14ac:dyDescent="0.7">
      <c r="A31" s="388"/>
      <c r="B31" s="88" t="s">
        <v>416</v>
      </c>
      <c r="C31" s="90" t="s">
        <v>13</v>
      </c>
      <c r="D31" s="90" t="s">
        <v>181</v>
      </c>
      <c r="E31" s="90">
        <v>1</v>
      </c>
      <c r="F31" s="90">
        <v>2.7349999999999999</v>
      </c>
      <c r="G31" s="90">
        <v>2.1</v>
      </c>
      <c r="H31" s="90"/>
      <c r="I31" s="90">
        <f>PRODUCT(E31:H31)</f>
        <v>5.7435</v>
      </c>
      <c r="J31" s="88"/>
    </row>
    <row r="32" spans="1:10" ht="15" customHeight="1" x14ac:dyDescent="0.7">
      <c r="A32" s="390" t="s">
        <v>473</v>
      </c>
      <c r="B32" s="391"/>
      <c r="C32" s="391"/>
      <c r="D32" s="391"/>
      <c r="E32" s="391"/>
      <c r="F32" s="391"/>
      <c r="G32" s="391"/>
      <c r="H32" s="392"/>
      <c r="I32" s="278">
        <f>SUM(I4:I31)</f>
        <v>245.66332500000001</v>
      </c>
      <c r="J32" s="88"/>
    </row>
  </sheetData>
  <autoFilter ref="A2:J17" xr:uid="{403D2B49-08D3-4C8F-BA02-B3B40AE96608}">
    <filterColumn colId="5" showButton="0"/>
    <filterColumn colId="6" showButton="0"/>
  </autoFilter>
  <mergeCells count="22">
    <mergeCell ref="A32:H32"/>
    <mergeCell ref="A20:A21"/>
    <mergeCell ref="A22:A23"/>
    <mergeCell ref="A24:A25"/>
    <mergeCell ref="A26:A27"/>
    <mergeCell ref="A28:A29"/>
    <mergeCell ref="A30:A31"/>
    <mergeCell ref="A14:A15"/>
    <mergeCell ref="A16:A17"/>
    <mergeCell ref="A12:A13"/>
    <mergeCell ref="A9:A11"/>
    <mergeCell ref="A2:A3"/>
    <mergeCell ref="A1:J1"/>
    <mergeCell ref="I2:I3"/>
    <mergeCell ref="J2:J3"/>
    <mergeCell ref="A5:A6"/>
    <mergeCell ref="A7:A8"/>
    <mergeCell ref="E2:E3"/>
    <mergeCell ref="F2:H2"/>
    <mergeCell ref="B2:B3"/>
    <mergeCell ref="C2:C3"/>
    <mergeCell ref="D2: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E37B-89A9-4F26-B9AD-09ED72E892C8}">
  <sheetPr>
    <tabColor theme="7" tint="-0.249977111117893"/>
  </sheetPr>
  <dimension ref="A1:V6"/>
  <sheetViews>
    <sheetView view="pageBreakPreview" topLeftCell="B11" zoomScale="60" zoomScaleNormal="70" workbookViewId="0">
      <selection activeCell="J2" sqref="J2:J3"/>
    </sheetView>
  </sheetViews>
  <sheetFormatPr defaultColWidth="8.7265625" defaultRowHeight="17" x14ac:dyDescent="0.7"/>
  <cols>
    <col min="1" max="1" width="5.1796875" style="62" bestFit="1" customWidth="1"/>
    <col min="2" max="2" width="48.81640625" style="74" customWidth="1"/>
    <col min="3" max="3" width="9.1796875" style="67" customWidth="1"/>
    <col min="4" max="5" width="8.7265625" style="74"/>
    <col min="6" max="8" width="12.1796875" style="74" customWidth="1"/>
    <col min="9" max="9" width="12.54296875" style="74" customWidth="1"/>
    <col min="10" max="10" width="24.1796875" style="74" customWidth="1"/>
    <col min="11" max="11" width="4.1796875" style="74" customWidth="1"/>
    <col min="12" max="12" width="3.7265625" style="74" customWidth="1"/>
    <col min="13" max="13" width="8.7265625" style="74"/>
    <col min="14" max="14" width="13.26953125" style="74" bestFit="1" customWidth="1"/>
    <col min="15" max="15" width="8.7265625" style="74"/>
    <col min="16" max="16" width="13.81640625" style="74" customWidth="1"/>
    <col min="17" max="17" width="14.81640625" style="74" customWidth="1"/>
    <col min="18" max="18" width="11" style="74" customWidth="1"/>
    <col min="19" max="19" width="8.7265625" style="74"/>
    <col min="20" max="20" width="16.453125" style="74" customWidth="1"/>
    <col min="21" max="21" width="15.26953125" style="74" customWidth="1"/>
    <col min="22" max="22" width="11.54296875" style="74" customWidth="1"/>
    <col min="23" max="16384" width="8.7265625" style="74"/>
  </cols>
  <sheetData>
    <row r="1" spans="1:22" x14ac:dyDescent="0.7">
      <c r="A1" s="376" t="s">
        <v>474</v>
      </c>
      <c r="B1" s="376"/>
      <c r="C1" s="376"/>
      <c r="D1" s="376"/>
      <c r="E1" s="376"/>
      <c r="F1" s="376"/>
      <c r="G1" s="376"/>
      <c r="H1" s="376"/>
      <c r="I1" s="376"/>
      <c r="J1" s="376"/>
      <c r="M1" s="395" t="s">
        <v>475</v>
      </c>
      <c r="N1" s="395"/>
      <c r="O1" s="395"/>
      <c r="P1" s="395"/>
      <c r="Q1" s="395"/>
      <c r="R1" s="395"/>
      <c r="S1" s="395"/>
      <c r="T1" s="395"/>
      <c r="U1" s="395"/>
      <c r="V1" s="395"/>
    </row>
    <row r="2" spans="1:22" s="60" customFormat="1" x14ac:dyDescent="0.35">
      <c r="A2" s="293" t="s">
        <v>2</v>
      </c>
      <c r="B2" s="299" t="s">
        <v>160</v>
      </c>
      <c r="C2" s="299" t="s">
        <v>161</v>
      </c>
      <c r="D2" s="299" t="s">
        <v>162</v>
      </c>
      <c r="E2" s="299" t="s">
        <v>25</v>
      </c>
      <c r="F2" s="299" t="s">
        <v>163</v>
      </c>
      <c r="G2" s="299"/>
      <c r="H2" s="299"/>
      <c r="I2" s="293" t="s">
        <v>5</v>
      </c>
      <c r="J2" s="299" t="s">
        <v>8</v>
      </c>
      <c r="M2" s="271" t="s">
        <v>476</v>
      </c>
      <c r="N2" s="276" t="s">
        <v>477</v>
      </c>
      <c r="O2" s="276" t="s">
        <v>478</v>
      </c>
      <c r="P2" s="276" t="s">
        <v>479</v>
      </c>
      <c r="Q2" s="276" t="s">
        <v>480</v>
      </c>
      <c r="R2" s="276" t="s">
        <v>481</v>
      </c>
      <c r="S2" s="276" t="s">
        <v>25</v>
      </c>
      <c r="T2" s="271" t="s">
        <v>482</v>
      </c>
      <c r="U2" s="271" t="s">
        <v>483</v>
      </c>
      <c r="V2" s="271" t="s">
        <v>484</v>
      </c>
    </row>
    <row r="3" spans="1:22" s="60" customFormat="1" ht="106.5" customHeight="1" x14ac:dyDescent="0.35">
      <c r="A3" s="293"/>
      <c r="B3" s="299"/>
      <c r="C3" s="299"/>
      <c r="D3" s="299"/>
      <c r="E3" s="299"/>
      <c r="F3" s="271" t="s">
        <v>165</v>
      </c>
      <c r="G3" s="271" t="s">
        <v>166</v>
      </c>
      <c r="H3" s="271" t="s">
        <v>167</v>
      </c>
      <c r="I3" s="293"/>
      <c r="J3" s="299"/>
      <c r="M3" s="271">
        <v>1</v>
      </c>
      <c r="N3" s="59" t="s">
        <v>485</v>
      </c>
      <c r="O3" s="59">
        <v>10</v>
      </c>
      <c r="P3" s="59">
        <v>0.61719999999999997</v>
      </c>
      <c r="Q3" s="59"/>
      <c r="R3" s="59">
        <v>175</v>
      </c>
      <c r="S3" s="59">
        <v>7</v>
      </c>
      <c r="T3" s="59">
        <v>2.4020000000000001</v>
      </c>
      <c r="U3" s="59">
        <f>T3*S3</f>
        <v>16.814</v>
      </c>
      <c r="V3" s="59">
        <f>U3*P3</f>
        <v>10.3776008</v>
      </c>
    </row>
    <row r="4" spans="1:22" ht="48" customHeight="1" x14ac:dyDescent="0.7">
      <c r="A4" s="59">
        <v>1</v>
      </c>
      <c r="B4" s="94" t="s">
        <v>486</v>
      </c>
      <c r="C4" s="59" t="s">
        <v>51</v>
      </c>
      <c r="D4" s="95"/>
      <c r="E4" s="84">
        <v>80</v>
      </c>
      <c r="F4" s="95">
        <v>1.2</v>
      </c>
      <c r="G4" s="95">
        <f>(0.5+0.225)/2</f>
        <v>0.36249999999999999</v>
      </c>
      <c r="H4" s="59">
        <v>1</v>
      </c>
      <c r="I4" s="59">
        <f>E4*F4*G4*H4</f>
        <v>34.799999999999997</v>
      </c>
      <c r="J4" s="73"/>
      <c r="M4" s="58">
        <v>2</v>
      </c>
      <c r="N4" s="59" t="s">
        <v>487</v>
      </c>
      <c r="O4" s="59">
        <v>8</v>
      </c>
      <c r="P4" s="59">
        <v>0.39500000000000002</v>
      </c>
      <c r="Q4" s="58"/>
      <c r="R4" s="58" t="s">
        <v>488</v>
      </c>
      <c r="S4" s="59">
        <v>15</v>
      </c>
      <c r="T4" s="59">
        <v>1.1499999999999999</v>
      </c>
      <c r="U4" s="59">
        <f>T4*S4</f>
        <v>17.25</v>
      </c>
      <c r="V4" s="59">
        <f>U4*P4</f>
        <v>6.8137500000000006</v>
      </c>
    </row>
    <row r="5" spans="1:22" ht="66.75" customHeight="1" thickBot="1" x14ac:dyDescent="0.75">
      <c r="A5" s="59">
        <v>2</v>
      </c>
      <c r="B5" s="59" t="s">
        <v>489</v>
      </c>
      <c r="C5" s="59" t="s">
        <v>175</v>
      </c>
      <c r="D5" s="59"/>
      <c r="E5" s="84">
        <v>80</v>
      </c>
      <c r="F5" s="59"/>
      <c r="G5" s="59"/>
      <c r="H5" s="59"/>
      <c r="I5" s="59">
        <f>E5*V6</f>
        <v>1627.6024640000003</v>
      </c>
      <c r="J5" s="59"/>
      <c r="M5" s="58">
        <v>3</v>
      </c>
      <c r="N5" s="59" t="s">
        <v>490</v>
      </c>
      <c r="O5" s="59">
        <v>16</v>
      </c>
      <c r="P5" s="59">
        <v>1.58</v>
      </c>
      <c r="Q5" s="58"/>
      <c r="R5" s="58" t="s">
        <v>488</v>
      </c>
      <c r="S5" s="59">
        <v>2</v>
      </c>
      <c r="T5" s="93">
        <v>0.998</v>
      </c>
      <c r="U5" s="93">
        <f>T5*S5</f>
        <v>1.996</v>
      </c>
      <c r="V5" s="93">
        <f>U5*P5</f>
        <v>3.15368</v>
      </c>
    </row>
    <row r="6" spans="1:22" ht="17.5" thickBot="1" x14ac:dyDescent="0.75">
      <c r="M6" s="67"/>
      <c r="N6" s="67"/>
      <c r="O6" s="67"/>
      <c r="P6" s="67"/>
      <c r="Q6" s="67"/>
      <c r="R6" s="67"/>
      <c r="S6" s="67"/>
      <c r="T6" s="393" t="s">
        <v>473</v>
      </c>
      <c r="U6" s="394"/>
      <c r="V6" s="98">
        <f>SUM(V3:V5)</f>
        <v>20.345030800000004</v>
      </c>
    </row>
  </sheetData>
  <mergeCells count="11">
    <mergeCell ref="F2:H2"/>
    <mergeCell ref="A1:J1"/>
    <mergeCell ref="I2:I3"/>
    <mergeCell ref="J2:J3"/>
    <mergeCell ref="T6:U6"/>
    <mergeCell ref="M1:V1"/>
    <mergeCell ref="A2:A3"/>
    <mergeCell ref="B2:B3"/>
    <mergeCell ref="C2:C3"/>
    <mergeCell ref="D2:D3"/>
    <mergeCell ref="E2:E3"/>
  </mergeCells>
  <pageMargins left="0.7" right="0.7" top="0.75" bottom="0.75" header="0.3" footer="0.3"/>
  <pageSetup scale="59" orientation="portrait" r:id="rId1"/>
  <colBreaks count="1" manualBreakCount="1">
    <brk id="1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3E14-3F34-4DBB-8D1F-5367073D9813}">
  <sheetPr>
    <tabColor theme="7" tint="-0.249977111117893"/>
  </sheetPr>
  <dimension ref="A1:O8"/>
  <sheetViews>
    <sheetView zoomScale="70" zoomScaleNormal="70" workbookViewId="0">
      <selection activeCell="G16" sqref="G16"/>
    </sheetView>
  </sheetViews>
  <sheetFormatPr defaultColWidth="8.7265625" defaultRowHeight="17" x14ac:dyDescent="0.35"/>
  <cols>
    <col min="1" max="1" width="5.1796875" style="62" bestFit="1" customWidth="1"/>
    <col min="2" max="2" width="48.81640625" style="96" customWidth="1"/>
    <col min="3" max="5" width="8.7265625" style="96"/>
    <col min="6" max="8" width="12.1796875" style="96" customWidth="1"/>
    <col min="9" max="9" width="11" style="96" customWidth="1"/>
    <col min="10" max="10" width="18.1796875" style="96" bestFit="1" customWidth="1"/>
    <col min="11" max="12" width="8.7265625" style="96"/>
    <col min="13" max="13" width="20.7265625" style="96" customWidth="1"/>
    <col min="14" max="14" width="11.1796875" style="96" customWidth="1"/>
    <col min="15" max="16384" width="8.7265625" style="96"/>
  </cols>
  <sheetData>
    <row r="1" spans="1:15" ht="17.5" thickBot="1" x14ac:dyDescent="0.4"/>
    <row r="2" spans="1:15" s="60" customFormat="1" x14ac:dyDescent="0.35">
      <c r="A2" s="351" t="s">
        <v>2</v>
      </c>
      <c r="B2" s="353" t="s">
        <v>160</v>
      </c>
      <c r="C2" s="353" t="s">
        <v>161</v>
      </c>
      <c r="D2" s="353" t="s">
        <v>162</v>
      </c>
      <c r="E2" s="353" t="s">
        <v>25</v>
      </c>
      <c r="F2" s="353" t="s">
        <v>163</v>
      </c>
      <c r="G2" s="353"/>
      <c r="H2" s="353"/>
      <c r="I2" s="347" t="s">
        <v>5</v>
      </c>
      <c r="J2" s="349" t="s">
        <v>8</v>
      </c>
    </row>
    <row r="3" spans="1:15" s="60" customFormat="1" ht="17.5" thickBot="1" x14ac:dyDescent="0.4">
      <c r="A3" s="352"/>
      <c r="B3" s="354"/>
      <c r="C3" s="354"/>
      <c r="D3" s="354"/>
      <c r="E3" s="354"/>
      <c r="F3" s="275" t="s">
        <v>165</v>
      </c>
      <c r="G3" s="275" t="s">
        <v>166</v>
      </c>
      <c r="H3" s="275" t="s">
        <v>167</v>
      </c>
      <c r="I3" s="348"/>
      <c r="J3" s="350"/>
    </row>
    <row r="4" spans="1:15" ht="36" customHeight="1" x14ac:dyDescent="0.35">
      <c r="A4" s="87">
        <v>1</v>
      </c>
      <c r="B4" s="290" t="s">
        <v>491</v>
      </c>
      <c r="C4" s="87" t="s">
        <v>46</v>
      </c>
      <c r="D4" s="87" t="s">
        <v>181</v>
      </c>
      <c r="E4" s="87">
        <v>1</v>
      </c>
      <c r="F4" s="291">
        <v>580</v>
      </c>
      <c r="G4" s="87"/>
      <c r="H4" s="87"/>
      <c r="I4" s="291">
        <f>PRODUCT(E4:H4)</f>
        <v>580</v>
      </c>
      <c r="J4" s="292"/>
      <c r="M4" s="97" t="s">
        <v>492</v>
      </c>
      <c r="N4" s="62">
        <f>45+15+170+5+15+12+20</f>
        <v>282</v>
      </c>
      <c r="O4" s="96" t="s">
        <v>63</v>
      </c>
    </row>
    <row r="5" spans="1:15" ht="36" customHeight="1" x14ac:dyDescent="0.35">
      <c r="A5" s="59">
        <v>2</v>
      </c>
      <c r="B5" s="83" t="s">
        <v>493</v>
      </c>
      <c r="C5" s="59" t="s">
        <v>13</v>
      </c>
      <c r="D5" s="59" t="s">
        <v>181</v>
      </c>
      <c r="E5" s="59">
        <v>1</v>
      </c>
      <c r="F5" s="61">
        <f>N4</f>
        <v>282</v>
      </c>
      <c r="G5" s="59"/>
      <c r="H5" s="59">
        <v>2.7</v>
      </c>
      <c r="I5" s="61">
        <f>PRODUCT(E5:H5)</f>
        <v>761.40000000000009</v>
      </c>
      <c r="J5" s="95"/>
      <c r="M5" s="97"/>
      <c r="N5" s="62"/>
    </row>
    <row r="6" spans="1:15" ht="46.9" customHeight="1" x14ac:dyDescent="0.35">
      <c r="A6" s="59">
        <v>3</v>
      </c>
      <c r="B6" s="83" t="s">
        <v>494</v>
      </c>
      <c r="C6" s="59" t="s">
        <v>46</v>
      </c>
      <c r="D6" s="59" t="s">
        <v>181</v>
      </c>
      <c r="E6" s="59">
        <v>1</v>
      </c>
      <c r="F6" s="61">
        <v>30</v>
      </c>
      <c r="G6" s="59"/>
      <c r="H6" s="59"/>
      <c r="I6" s="61">
        <f>PRODUCT(E6:H6)</f>
        <v>30</v>
      </c>
      <c r="J6" s="95"/>
      <c r="O6" s="83" t="s">
        <v>493</v>
      </c>
    </row>
    <row r="7" spans="1:15" ht="33.65" customHeight="1" x14ac:dyDescent="0.35">
      <c r="A7" s="59">
        <v>4</v>
      </c>
      <c r="B7" s="83" t="s">
        <v>495</v>
      </c>
      <c r="C7" s="59" t="s">
        <v>46</v>
      </c>
      <c r="D7" s="59" t="s">
        <v>181</v>
      </c>
      <c r="E7" s="59">
        <v>1</v>
      </c>
      <c r="F7" s="61">
        <v>30</v>
      </c>
      <c r="G7" s="59"/>
      <c r="H7" s="59"/>
      <c r="I7" s="61">
        <f>PRODUCT(E7:H7)</f>
        <v>30</v>
      </c>
      <c r="J7" s="95"/>
    </row>
    <row r="8" spans="1:15" x14ac:dyDescent="0.35">
      <c r="A8" s="396"/>
      <c r="B8" s="397"/>
      <c r="C8" s="397"/>
      <c r="D8" s="397"/>
      <c r="E8" s="397"/>
      <c r="F8" s="397"/>
      <c r="G8" s="397"/>
      <c r="H8" s="398"/>
      <c r="I8" s="271"/>
      <c r="J8" s="95"/>
    </row>
  </sheetData>
  <mergeCells count="9">
    <mergeCell ref="I2:I3"/>
    <mergeCell ref="J2:J3"/>
    <mergeCell ref="A8:H8"/>
    <mergeCell ref="A2:A3"/>
    <mergeCell ref="B2:B3"/>
    <mergeCell ref="C2:C3"/>
    <mergeCell ref="D2:D3"/>
    <mergeCell ref="E2:E3"/>
    <mergeCell ref="F2:H2"/>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7847D-42CA-48D8-A594-B5F9AD9316E4}">
  <sheetPr>
    <tabColor theme="7" tint="-0.249977111117893"/>
  </sheetPr>
  <dimension ref="A1:J21"/>
  <sheetViews>
    <sheetView view="pageBreakPreview" topLeftCell="A15" zoomScale="85" zoomScaleNormal="100" zoomScaleSheetLayoutView="85" workbookViewId="0">
      <selection activeCell="J25" sqref="J25"/>
    </sheetView>
  </sheetViews>
  <sheetFormatPr defaultColWidth="8.7265625" defaultRowHeight="17" x14ac:dyDescent="0.35"/>
  <cols>
    <col min="1" max="1" width="4.54296875" style="227" bestFit="1" customWidth="1"/>
    <col min="2" max="2" width="37.6328125" style="234" bestFit="1" customWidth="1"/>
    <col min="3" max="3" width="5.26953125" style="235" bestFit="1" customWidth="1"/>
    <col min="4" max="4" width="4.7265625" style="235" bestFit="1" customWidth="1"/>
    <col min="5" max="5" width="4.08984375" style="227" bestFit="1" customWidth="1"/>
    <col min="6" max="6" width="6.54296875" style="227" bestFit="1" customWidth="1"/>
    <col min="7" max="7" width="7.54296875" style="227" bestFit="1" customWidth="1"/>
    <col min="8" max="8" width="6.1796875" style="227" bestFit="1" customWidth="1"/>
    <col min="9" max="9" width="8.08984375" style="227" bestFit="1" customWidth="1"/>
    <col min="10" max="10" width="16.08984375" style="234" bestFit="1" customWidth="1"/>
    <col min="11" max="16384" width="8.7265625" style="227"/>
  </cols>
  <sheetData>
    <row r="1" spans="1:10" x14ac:dyDescent="0.35">
      <c r="A1" s="399" t="s">
        <v>496</v>
      </c>
      <c r="B1" s="399"/>
      <c r="C1" s="399"/>
      <c r="D1" s="399"/>
      <c r="E1" s="399"/>
      <c r="F1" s="399"/>
      <c r="G1" s="399"/>
      <c r="H1" s="399"/>
      <c r="I1" s="399"/>
      <c r="J1" s="399"/>
    </row>
    <row r="2" spans="1:10" s="223" customFormat="1" x14ac:dyDescent="0.35">
      <c r="A2" s="400" t="s">
        <v>2</v>
      </c>
      <c r="B2" s="400" t="s">
        <v>160</v>
      </c>
      <c r="C2" s="406" t="s">
        <v>161</v>
      </c>
      <c r="D2" s="406" t="s">
        <v>162</v>
      </c>
      <c r="E2" s="406" t="s">
        <v>25</v>
      </c>
      <c r="F2" s="406" t="s">
        <v>163</v>
      </c>
      <c r="G2" s="406"/>
      <c r="H2" s="406"/>
      <c r="I2" s="400" t="s">
        <v>5</v>
      </c>
      <c r="J2" s="400" t="s">
        <v>8</v>
      </c>
    </row>
    <row r="3" spans="1:10" s="223" customFormat="1" x14ac:dyDescent="0.35">
      <c r="A3" s="400"/>
      <c r="B3" s="400"/>
      <c r="C3" s="406"/>
      <c r="D3" s="406"/>
      <c r="E3" s="406"/>
      <c r="F3" s="283" t="s">
        <v>165</v>
      </c>
      <c r="G3" s="283" t="s">
        <v>166</v>
      </c>
      <c r="H3" s="283" t="s">
        <v>167</v>
      </c>
      <c r="I3" s="400"/>
      <c r="J3" s="400"/>
    </row>
    <row r="4" spans="1:10" s="223" customFormat="1" x14ac:dyDescent="0.35">
      <c r="A4" s="284">
        <v>1</v>
      </c>
      <c r="B4" s="224" t="s">
        <v>497</v>
      </c>
      <c r="C4" s="283"/>
      <c r="D4" s="283"/>
      <c r="E4" s="283"/>
      <c r="F4" s="283"/>
      <c r="G4" s="283"/>
      <c r="H4" s="283"/>
      <c r="I4" s="284"/>
      <c r="J4" s="284"/>
    </row>
    <row r="5" spans="1:10" ht="20.25" customHeight="1" x14ac:dyDescent="0.35">
      <c r="A5" s="225" t="s">
        <v>10</v>
      </c>
      <c r="B5" s="40" t="s">
        <v>498</v>
      </c>
      <c r="C5" s="225" t="s">
        <v>56</v>
      </c>
      <c r="D5" s="225" t="s">
        <v>181</v>
      </c>
      <c r="E5" s="225">
        <v>10</v>
      </c>
      <c r="F5" s="226">
        <v>1.2</v>
      </c>
      <c r="G5" s="226">
        <v>1.2</v>
      </c>
      <c r="H5" s="226">
        <v>1</v>
      </c>
      <c r="I5" s="226">
        <f>E5*F5*G5*H5</f>
        <v>14.399999999999999</v>
      </c>
      <c r="J5" s="40"/>
    </row>
    <row r="6" spans="1:10" ht="20.25" customHeight="1" x14ac:dyDescent="0.35">
      <c r="A6" s="225"/>
      <c r="B6" s="40"/>
      <c r="C6" s="403"/>
      <c r="D6" s="404"/>
      <c r="E6" s="404"/>
      <c r="F6" s="404"/>
      <c r="G6" s="404"/>
      <c r="H6" s="405"/>
      <c r="I6" s="228">
        <f>I5</f>
        <v>14.399999999999999</v>
      </c>
      <c r="J6" s="40"/>
    </row>
    <row r="7" spans="1:10" x14ac:dyDescent="0.35">
      <c r="A7" s="225" t="s">
        <v>16</v>
      </c>
      <c r="B7" s="40" t="s">
        <v>499</v>
      </c>
      <c r="C7" s="225" t="s">
        <v>56</v>
      </c>
      <c r="D7" s="225" t="s">
        <v>181</v>
      </c>
      <c r="E7" s="225">
        <v>10</v>
      </c>
      <c r="F7" s="226">
        <v>1</v>
      </c>
      <c r="G7" s="226">
        <v>1</v>
      </c>
      <c r="H7" s="225">
        <v>0.1</v>
      </c>
      <c r="I7" s="261">
        <f>E7*F7*G7*H7</f>
        <v>1</v>
      </c>
      <c r="J7" s="40"/>
    </row>
    <row r="8" spans="1:10" x14ac:dyDescent="0.35">
      <c r="A8" s="225"/>
      <c r="B8" s="40"/>
      <c r="C8" s="403"/>
      <c r="D8" s="404"/>
      <c r="E8" s="404"/>
      <c r="F8" s="404"/>
      <c r="G8" s="404"/>
      <c r="H8" s="405"/>
      <c r="I8" s="228">
        <f>I7</f>
        <v>1</v>
      </c>
      <c r="J8" s="40"/>
    </row>
    <row r="9" spans="1:10" x14ac:dyDescent="0.35">
      <c r="A9" s="225" t="s">
        <v>29</v>
      </c>
      <c r="B9" s="40" t="s">
        <v>500</v>
      </c>
      <c r="C9" s="225" t="s">
        <v>56</v>
      </c>
      <c r="D9" s="225" t="s">
        <v>181</v>
      </c>
      <c r="E9" s="225">
        <v>10</v>
      </c>
      <c r="F9" s="225">
        <v>0.6</v>
      </c>
      <c r="G9" s="225">
        <v>0.6</v>
      </c>
      <c r="H9" s="225">
        <v>0.9</v>
      </c>
      <c r="I9" s="225">
        <f>E9*F9*G9*H9</f>
        <v>3.2399999999999998</v>
      </c>
      <c r="J9" s="40"/>
    </row>
    <row r="10" spans="1:10" x14ac:dyDescent="0.35">
      <c r="A10" s="225" t="s">
        <v>36</v>
      </c>
      <c r="B10" s="40" t="s">
        <v>501</v>
      </c>
      <c r="C10" s="225" t="s">
        <v>56</v>
      </c>
      <c r="D10" s="225" t="s">
        <v>181</v>
      </c>
      <c r="E10" s="225">
        <v>10</v>
      </c>
      <c r="F10" s="225">
        <v>0.6</v>
      </c>
      <c r="G10" s="225">
        <v>0.6</v>
      </c>
      <c r="H10" s="225">
        <v>3</v>
      </c>
      <c r="I10" s="225">
        <f>F10*G10*H10*E10</f>
        <v>10.8</v>
      </c>
      <c r="J10" s="40"/>
    </row>
    <row r="11" spans="1:10" x14ac:dyDescent="0.35">
      <c r="A11" s="225"/>
      <c r="B11" s="40"/>
      <c r="C11" s="403"/>
      <c r="D11" s="404"/>
      <c r="E11" s="404"/>
      <c r="F11" s="404"/>
      <c r="G11" s="404"/>
      <c r="H11" s="405"/>
      <c r="I11" s="283">
        <f>SUM(I9:I10)</f>
        <v>14.040000000000001</v>
      </c>
      <c r="J11" s="40"/>
    </row>
    <row r="12" spans="1:10" ht="51" x14ac:dyDescent="0.35">
      <c r="A12" s="225" t="s">
        <v>112</v>
      </c>
      <c r="B12" s="40" t="s">
        <v>489</v>
      </c>
      <c r="C12" s="225" t="s">
        <v>71</v>
      </c>
      <c r="D12" s="225" t="s">
        <v>181</v>
      </c>
      <c r="E12" s="225"/>
      <c r="F12" s="229"/>
      <c r="G12" s="229"/>
      <c r="H12" s="229"/>
      <c r="I12" s="225">
        <f>I10*2%*7850</f>
        <v>1695.6000000000001</v>
      </c>
      <c r="J12" s="230" t="s">
        <v>502</v>
      </c>
    </row>
    <row r="13" spans="1:10" x14ac:dyDescent="0.35">
      <c r="A13" s="225"/>
      <c r="B13" s="40"/>
      <c r="C13" s="225"/>
      <c r="D13" s="225"/>
      <c r="E13" s="225"/>
      <c r="F13" s="229"/>
      <c r="G13" s="229"/>
      <c r="H13" s="229"/>
      <c r="I13" s="283">
        <f>I12</f>
        <v>1695.6000000000001</v>
      </c>
      <c r="J13" s="231"/>
    </row>
    <row r="14" spans="1:10" ht="34" x14ac:dyDescent="0.35">
      <c r="A14" s="283" t="s">
        <v>114</v>
      </c>
      <c r="B14" s="232" t="s">
        <v>503</v>
      </c>
      <c r="C14" s="225"/>
      <c r="D14" s="225"/>
      <c r="E14" s="225"/>
      <c r="F14" s="229"/>
      <c r="G14" s="229"/>
      <c r="H14" s="229"/>
      <c r="I14" s="229"/>
      <c r="J14" s="40"/>
    </row>
    <row r="15" spans="1:10" ht="37.15" customHeight="1" x14ac:dyDescent="0.35">
      <c r="A15" s="225" t="s">
        <v>177</v>
      </c>
      <c r="B15" s="40" t="s">
        <v>504</v>
      </c>
      <c r="C15" s="225" t="s">
        <v>71</v>
      </c>
      <c r="D15" s="225" t="s">
        <v>181</v>
      </c>
      <c r="E15" s="225">
        <v>1</v>
      </c>
      <c r="F15" s="229"/>
      <c r="G15" s="225">
        <v>5</v>
      </c>
      <c r="H15" s="225">
        <v>2.8</v>
      </c>
      <c r="I15" s="225">
        <f t="shared" ref="I15:I20" si="0">G15*H15*85</f>
        <v>1190</v>
      </c>
      <c r="J15" s="230" t="s">
        <v>505</v>
      </c>
    </row>
    <row r="16" spans="1:10" ht="36" customHeight="1" x14ac:dyDescent="0.35">
      <c r="A16" s="225" t="s">
        <v>183</v>
      </c>
      <c r="B16" s="40" t="s">
        <v>506</v>
      </c>
      <c r="C16" s="225" t="s">
        <v>71</v>
      </c>
      <c r="D16" s="225" t="s">
        <v>181</v>
      </c>
      <c r="E16" s="225">
        <v>1</v>
      </c>
      <c r="F16" s="229"/>
      <c r="G16" s="225">
        <v>6</v>
      </c>
      <c r="H16" s="225">
        <v>2.8</v>
      </c>
      <c r="I16" s="225">
        <f t="shared" si="0"/>
        <v>1427.9999999999998</v>
      </c>
      <c r="J16" s="40"/>
    </row>
    <row r="17" spans="1:10" ht="37.9" customHeight="1" x14ac:dyDescent="0.35">
      <c r="A17" s="225" t="s">
        <v>507</v>
      </c>
      <c r="B17" s="40" t="s">
        <v>508</v>
      </c>
      <c r="C17" s="225" t="s">
        <v>71</v>
      </c>
      <c r="D17" s="225" t="s">
        <v>181</v>
      </c>
      <c r="E17" s="225">
        <v>1</v>
      </c>
      <c r="F17" s="229"/>
      <c r="G17" s="225">
        <v>5</v>
      </c>
      <c r="H17" s="225">
        <v>2.8</v>
      </c>
      <c r="I17" s="225">
        <f t="shared" si="0"/>
        <v>1190</v>
      </c>
      <c r="J17" s="40"/>
    </row>
    <row r="18" spans="1:10" ht="34" x14ac:dyDescent="0.35">
      <c r="A18" s="225" t="s">
        <v>509</v>
      </c>
      <c r="B18" s="40" t="s">
        <v>510</v>
      </c>
      <c r="C18" s="225" t="s">
        <v>71</v>
      </c>
      <c r="D18" s="225" t="s">
        <v>181</v>
      </c>
      <c r="E18" s="225">
        <v>1</v>
      </c>
      <c r="F18" s="229"/>
      <c r="G18" s="225">
        <v>4.5</v>
      </c>
      <c r="H18" s="225">
        <v>2.8</v>
      </c>
      <c r="I18" s="225">
        <f t="shared" si="0"/>
        <v>1071</v>
      </c>
      <c r="J18" s="40"/>
    </row>
    <row r="19" spans="1:10" ht="34" x14ac:dyDescent="0.35">
      <c r="A19" s="225" t="s">
        <v>511</v>
      </c>
      <c r="B19" s="40" t="s">
        <v>512</v>
      </c>
      <c r="C19" s="225" t="s">
        <v>71</v>
      </c>
      <c r="D19" s="225" t="s">
        <v>181</v>
      </c>
      <c r="E19" s="225">
        <v>1</v>
      </c>
      <c r="F19" s="229"/>
      <c r="G19" s="225">
        <v>5</v>
      </c>
      <c r="H19" s="285">
        <v>2.8</v>
      </c>
      <c r="I19" s="225">
        <f t="shared" si="0"/>
        <v>1190</v>
      </c>
      <c r="J19" s="40"/>
    </row>
    <row r="20" spans="1:10" ht="34" x14ac:dyDescent="0.35">
      <c r="A20" s="225" t="s">
        <v>513</v>
      </c>
      <c r="B20" s="40" t="s">
        <v>514</v>
      </c>
      <c r="C20" s="225" t="s">
        <v>71</v>
      </c>
      <c r="D20" s="225" t="s">
        <v>181</v>
      </c>
      <c r="E20" s="225">
        <v>1</v>
      </c>
      <c r="F20" s="229"/>
      <c r="G20" s="225">
        <v>5</v>
      </c>
      <c r="H20" s="285">
        <v>2.8</v>
      </c>
      <c r="I20" s="225">
        <f t="shared" si="0"/>
        <v>1190</v>
      </c>
      <c r="J20" s="40"/>
    </row>
    <row r="21" spans="1:10" x14ac:dyDescent="0.35">
      <c r="A21" s="229"/>
      <c r="B21" s="40"/>
      <c r="C21" s="225"/>
      <c r="D21" s="225"/>
      <c r="E21" s="229"/>
      <c r="F21" s="229"/>
      <c r="G21" s="401" t="s">
        <v>515</v>
      </c>
      <c r="H21" s="402"/>
      <c r="I21" s="233">
        <f>SUM(I15:I20)</f>
        <v>7259</v>
      </c>
      <c r="J21" s="40"/>
    </row>
  </sheetData>
  <mergeCells count="13">
    <mergeCell ref="A1:J1"/>
    <mergeCell ref="I2:I3"/>
    <mergeCell ref="J2:J3"/>
    <mergeCell ref="G21:H21"/>
    <mergeCell ref="C11:H11"/>
    <mergeCell ref="C8:H8"/>
    <mergeCell ref="C6:H6"/>
    <mergeCell ref="A2:A3"/>
    <mergeCell ref="B2:B3"/>
    <mergeCell ref="C2:C3"/>
    <mergeCell ref="D2:D3"/>
    <mergeCell ref="E2:E3"/>
    <mergeCell ref="F2:H2"/>
  </mergeCells>
  <pageMargins left="0.28000000000000003" right="0.3"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8E1FF-16A4-48EB-9C97-B93B6EE0B5EF}">
  <sheetPr>
    <tabColor theme="7" tint="-0.249977111117893"/>
  </sheetPr>
  <dimension ref="A2:R33"/>
  <sheetViews>
    <sheetView view="pageBreakPreview" zoomScale="85" zoomScaleNormal="87" zoomScaleSheetLayoutView="85" workbookViewId="0">
      <selection activeCell="I5" sqref="I5"/>
    </sheetView>
  </sheetViews>
  <sheetFormatPr defaultColWidth="8.7265625" defaultRowHeight="17" x14ac:dyDescent="0.7"/>
  <cols>
    <col min="1" max="1" width="5.26953125" style="189" bestFit="1" customWidth="1"/>
    <col min="2" max="2" width="48.81640625" style="179" customWidth="1"/>
    <col min="3" max="3" width="9.453125" style="179" bestFit="1" customWidth="1"/>
    <col min="4" max="4" width="5.26953125" style="179" bestFit="1" customWidth="1"/>
    <col min="5" max="5" width="4.81640625" style="179" bestFit="1" customWidth="1"/>
    <col min="6" max="6" width="7.26953125" style="179" bestFit="1" customWidth="1"/>
    <col min="7" max="7" width="8.54296875" style="179" bestFit="1" customWidth="1"/>
    <col min="8" max="8" width="7" style="179" bestFit="1" customWidth="1"/>
    <col min="9" max="9" width="9.26953125" style="179" bestFit="1" customWidth="1"/>
    <col min="10" max="10" width="12.26953125" style="179" customWidth="1"/>
    <col min="11" max="12" width="8.7265625" style="179"/>
    <col min="13" max="13" width="14.81640625" style="179" bestFit="1" customWidth="1"/>
    <col min="14" max="14" width="25.7265625" style="179" bestFit="1" customWidth="1"/>
    <col min="15" max="15" width="3.54296875" style="179" bestFit="1" customWidth="1"/>
    <col min="16" max="16" width="1.81640625" style="179" bestFit="1" customWidth="1"/>
    <col min="17" max="17" width="2.81640625" style="179" bestFit="1" customWidth="1"/>
    <col min="18" max="18" width="2.26953125" style="179" bestFit="1" customWidth="1"/>
    <col min="19" max="16384" width="8.7265625" style="179"/>
  </cols>
  <sheetData>
    <row r="2" spans="1:18" s="177" customFormat="1" x14ac:dyDescent="0.35">
      <c r="A2" s="293" t="s">
        <v>2</v>
      </c>
      <c r="B2" s="302" t="s">
        <v>160</v>
      </c>
      <c r="C2" s="302" t="s">
        <v>161</v>
      </c>
      <c r="D2" s="302" t="s">
        <v>162</v>
      </c>
      <c r="E2" s="302" t="s">
        <v>25</v>
      </c>
      <c r="F2" s="302" t="s">
        <v>163</v>
      </c>
      <c r="G2" s="302"/>
      <c r="H2" s="302"/>
      <c r="I2" s="302" t="s">
        <v>5</v>
      </c>
      <c r="J2" s="302" t="s">
        <v>8</v>
      </c>
      <c r="N2" s="177" t="s">
        <v>164</v>
      </c>
    </row>
    <row r="3" spans="1:18" s="177" customFormat="1" x14ac:dyDescent="0.35">
      <c r="A3" s="293"/>
      <c r="B3" s="302"/>
      <c r="C3" s="302"/>
      <c r="D3" s="302"/>
      <c r="E3" s="302"/>
      <c r="F3" s="178" t="s">
        <v>165</v>
      </c>
      <c r="G3" s="178" t="s">
        <v>166</v>
      </c>
      <c r="H3" s="178" t="s">
        <v>167</v>
      </c>
      <c r="I3" s="302"/>
      <c r="J3" s="302"/>
      <c r="N3" s="177" t="s">
        <v>168</v>
      </c>
      <c r="O3" s="177">
        <v>60</v>
      </c>
      <c r="P3" s="177" t="s">
        <v>168</v>
      </c>
      <c r="Q3" s="177" t="s">
        <v>169</v>
      </c>
      <c r="R3" s="177" t="s">
        <v>170</v>
      </c>
    </row>
    <row r="4" spans="1:18" ht="51" x14ac:dyDescent="0.7">
      <c r="A4" s="63">
        <v>1</v>
      </c>
      <c r="B4" s="178" t="s">
        <v>171</v>
      </c>
      <c r="C4" s="80"/>
      <c r="D4" s="63"/>
      <c r="E4" s="80"/>
      <c r="F4" s="80"/>
      <c r="G4" s="80"/>
      <c r="H4" s="80"/>
      <c r="I4" s="80"/>
      <c r="J4" s="80"/>
    </row>
    <row r="5" spans="1:18" x14ac:dyDescent="0.7">
      <c r="A5" s="63"/>
      <c r="B5" s="83" t="s">
        <v>172</v>
      </c>
      <c r="C5" s="80" t="s">
        <v>56</v>
      </c>
      <c r="D5" s="63" t="s">
        <v>173</v>
      </c>
      <c r="E5" s="80">
        <v>1</v>
      </c>
      <c r="F5" s="180">
        <v>23</v>
      </c>
      <c r="G5" s="80">
        <v>1.2</v>
      </c>
      <c r="H5" s="80">
        <v>0.1</v>
      </c>
      <c r="I5" s="80">
        <f>PRODUCT(E5:H5)</f>
        <v>2.76</v>
      </c>
      <c r="J5" s="80"/>
    </row>
    <row r="6" spans="1:18" x14ac:dyDescent="0.7">
      <c r="A6" s="63"/>
      <c r="B6" s="94" t="s">
        <v>174</v>
      </c>
      <c r="C6" s="80" t="s">
        <v>175</v>
      </c>
      <c r="D6" s="63" t="s">
        <v>173</v>
      </c>
      <c r="E6" s="80"/>
      <c r="F6" s="80"/>
      <c r="G6" s="80"/>
      <c r="H6" s="80"/>
      <c r="I6" s="80">
        <f>I5*65</f>
        <v>179.39999999999998</v>
      </c>
      <c r="J6" s="80"/>
    </row>
    <row r="7" spans="1:18" ht="51" x14ac:dyDescent="0.7">
      <c r="A7" s="63">
        <v>2</v>
      </c>
      <c r="B7" s="178" t="s">
        <v>176</v>
      </c>
      <c r="C7" s="80"/>
      <c r="D7" s="63"/>
      <c r="E7" s="80"/>
      <c r="F7" s="80"/>
      <c r="G7" s="80"/>
      <c r="H7" s="80"/>
      <c r="I7" s="80"/>
      <c r="J7" s="80"/>
    </row>
    <row r="8" spans="1:18" x14ac:dyDescent="0.7">
      <c r="A8" s="63" t="s">
        <v>177</v>
      </c>
      <c r="B8" s="83" t="s">
        <v>178</v>
      </c>
      <c r="C8" s="63"/>
      <c r="D8" s="63"/>
      <c r="E8" s="63"/>
      <c r="F8" s="181"/>
      <c r="G8" s="63"/>
      <c r="H8" s="63"/>
      <c r="I8" s="182"/>
      <c r="J8" s="80"/>
    </row>
    <row r="9" spans="1:18" x14ac:dyDescent="0.7">
      <c r="A9" s="183" t="s">
        <v>10</v>
      </c>
      <c r="B9" s="83" t="s">
        <v>179</v>
      </c>
      <c r="C9" s="80" t="s">
        <v>180</v>
      </c>
      <c r="D9" s="63" t="s">
        <v>181</v>
      </c>
      <c r="E9" s="80">
        <v>4</v>
      </c>
      <c r="F9" s="80">
        <v>4</v>
      </c>
      <c r="G9" s="80"/>
      <c r="H9" s="80"/>
      <c r="I9" s="256">
        <f>E9*F9*8/1000</f>
        <v>0.128</v>
      </c>
      <c r="J9" s="255"/>
    </row>
    <row r="10" spans="1:18" x14ac:dyDescent="0.7">
      <c r="A10" s="183" t="s">
        <v>16</v>
      </c>
      <c r="B10" s="83" t="s">
        <v>182</v>
      </c>
      <c r="C10" s="80" t="s">
        <v>180</v>
      </c>
      <c r="D10" s="63" t="s">
        <v>181</v>
      </c>
      <c r="E10" s="80">
        <v>6</v>
      </c>
      <c r="F10" s="80">
        <v>7</v>
      </c>
      <c r="G10" s="80"/>
      <c r="H10" s="80"/>
      <c r="I10" s="256">
        <f>E10*F10*5/1000</f>
        <v>0.21</v>
      </c>
      <c r="J10" s="255"/>
    </row>
    <row r="11" spans="1:18" x14ac:dyDescent="0.7">
      <c r="A11" s="183" t="s">
        <v>29</v>
      </c>
      <c r="B11" s="83" t="s">
        <v>182</v>
      </c>
      <c r="C11" s="80" t="s">
        <v>180</v>
      </c>
      <c r="D11" s="63" t="s">
        <v>181</v>
      </c>
      <c r="E11" s="80">
        <v>6</v>
      </c>
      <c r="F11" s="80">
        <v>6.5</v>
      </c>
      <c r="G11" s="80"/>
      <c r="H11" s="80"/>
      <c r="I11" s="256">
        <f>E11*F11*5/1000</f>
        <v>0.19500000000000001</v>
      </c>
      <c r="J11" s="255"/>
    </row>
    <row r="12" spans="1:18" x14ac:dyDescent="0.7">
      <c r="A12" s="183" t="s">
        <v>183</v>
      </c>
      <c r="B12" s="83" t="s">
        <v>184</v>
      </c>
      <c r="C12" s="80" t="s">
        <v>58</v>
      </c>
      <c r="D12" s="63" t="s">
        <v>181</v>
      </c>
      <c r="E12" s="80"/>
      <c r="F12" s="80"/>
      <c r="G12" s="80"/>
      <c r="H12" s="80"/>
      <c r="I12" s="257">
        <v>2</v>
      </c>
      <c r="J12" s="184"/>
    </row>
    <row r="13" spans="1:18" ht="51" x14ac:dyDescent="0.7">
      <c r="A13" s="259">
        <v>3</v>
      </c>
      <c r="B13" s="178" t="s">
        <v>185</v>
      </c>
      <c r="C13" s="80"/>
      <c r="D13" s="63"/>
      <c r="E13" s="80"/>
      <c r="F13" s="80"/>
      <c r="G13" s="80"/>
      <c r="H13" s="80"/>
      <c r="I13" s="257"/>
      <c r="J13" s="260"/>
    </row>
    <row r="14" spans="1:18" x14ac:dyDescent="0.7">
      <c r="A14" s="259" t="s">
        <v>10</v>
      </c>
      <c r="B14" s="83" t="s">
        <v>178</v>
      </c>
      <c r="C14" s="80" t="s">
        <v>13</v>
      </c>
      <c r="D14" s="63" t="s">
        <v>181</v>
      </c>
      <c r="E14" s="80">
        <v>1</v>
      </c>
      <c r="F14" s="80">
        <v>7</v>
      </c>
      <c r="G14" s="80">
        <v>6.5</v>
      </c>
      <c r="H14" s="80"/>
      <c r="I14" s="257">
        <f>G14*F14</f>
        <v>45.5</v>
      </c>
      <c r="J14" s="260"/>
    </row>
    <row r="15" spans="1:18" x14ac:dyDescent="0.7">
      <c r="A15" s="259" t="s">
        <v>16</v>
      </c>
      <c r="B15" s="83" t="s">
        <v>184</v>
      </c>
      <c r="C15" s="80" t="s">
        <v>13</v>
      </c>
      <c r="D15" s="63" t="s">
        <v>181</v>
      </c>
      <c r="E15" s="80">
        <v>1</v>
      </c>
      <c r="F15" s="80"/>
      <c r="G15" s="80"/>
      <c r="H15" s="80"/>
      <c r="I15" s="257">
        <v>170.7</v>
      </c>
      <c r="J15" s="260"/>
    </row>
    <row r="16" spans="1:18" x14ac:dyDescent="0.7">
      <c r="A16" s="63">
        <v>4</v>
      </c>
      <c r="B16" s="178" t="s">
        <v>186</v>
      </c>
      <c r="C16" s="80"/>
      <c r="D16" s="63"/>
      <c r="E16" s="80"/>
      <c r="F16" s="80"/>
      <c r="G16" s="80"/>
      <c r="H16" s="80"/>
      <c r="I16" s="80"/>
      <c r="J16" s="80"/>
    </row>
    <row r="17" spans="1:14" x14ac:dyDescent="0.7">
      <c r="A17" s="63"/>
      <c r="B17" s="83" t="s">
        <v>187</v>
      </c>
      <c r="C17" s="80" t="s">
        <v>13</v>
      </c>
      <c r="D17" s="63" t="s">
        <v>181</v>
      </c>
      <c r="E17" s="80">
        <v>1</v>
      </c>
      <c r="F17" s="80">
        <v>4</v>
      </c>
      <c r="G17" s="80"/>
      <c r="H17" s="80">
        <v>2.15</v>
      </c>
      <c r="I17" s="185">
        <f>PRODUCT(E17:H17)</f>
        <v>8.6</v>
      </c>
      <c r="J17" s="80"/>
    </row>
    <row r="18" spans="1:14" x14ac:dyDescent="0.7">
      <c r="A18" s="63"/>
      <c r="B18" s="83" t="s">
        <v>188</v>
      </c>
      <c r="C18" s="80" t="s">
        <v>13</v>
      </c>
      <c r="D18" s="63" t="s">
        <v>181</v>
      </c>
      <c r="E18" s="80">
        <v>1</v>
      </c>
      <c r="F18" s="80">
        <v>13.4</v>
      </c>
      <c r="G18" s="80"/>
      <c r="H18" s="80">
        <v>16.600000000000001</v>
      </c>
      <c r="I18" s="80">
        <f>PRODUCT(E18:H18)</f>
        <v>222.44000000000003</v>
      </c>
      <c r="J18" s="80"/>
      <c r="M18" s="179" t="s">
        <v>189</v>
      </c>
    </row>
    <row r="19" spans="1:14" x14ac:dyDescent="0.7">
      <c r="A19" s="63"/>
      <c r="B19" s="83"/>
      <c r="C19" s="80"/>
      <c r="D19" s="63"/>
      <c r="E19" s="80"/>
      <c r="F19" s="80"/>
      <c r="G19" s="80"/>
      <c r="H19" s="80"/>
      <c r="I19" s="186">
        <f>SUM(I17:I18)</f>
        <v>231.04000000000002</v>
      </c>
      <c r="J19" s="80"/>
      <c r="M19" s="179" t="s">
        <v>190</v>
      </c>
      <c r="N19" s="179">
        <f>4*9</f>
        <v>36</v>
      </c>
    </row>
    <row r="20" spans="1:14" x14ac:dyDescent="0.7">
      <c r="A20" s="63">
        <v>5</v>
      </c>
      <c r="B20" s="178" t="s">
        <v>191</v>
      </c>
      <c r="C20" s="80"/>
      <c r="D20" s="63"/>
      <c r="E20" s="80"/>
      <c r="F20" s="80"/>
      <c r="G20" s="80"/>
      <c r="H20" s="80"/>
      <c r="I20" s="80"/>
      <c r="J20" s="80"/>
      <c r="M20" s="179" t="s">
        <v>192</v>
      </c>
      <c r="N20" s="179">
        <f>5*2</f>
        <v>10</v>
      </c>
    </row>
    <row r="21" spans="1:14" x14ac:dyDescent="0.7">
      <c r="A21" s="63"/>
      <c r="B21" s="83" t="s">
        <v>193</v>
      </c>
      <c r="C21" s="80" t="s">
        <v>25</v>
      </c>
      <c r="D21" s="63" t="s">
        <v>173</v>
      </c>
      <c r="E21" s="180">
        <v>3</v>
      </c>
      <c r="F21" s="80"/>
      <c r="G21" s="80"/>
      <c r="H21" s="80"/>
      <c r="I21" s="180">
        <f>PRODUCT(E21:H21)</f>
        <v>3</v>
      </c>
      <c r="J21" s="80"/>
      <c r="M21" s="179" t="s">
        <v>194</v>
      </c>
      <c r="N21" s="179">
        <f>5*4</f>
        <v>20</v>
      </c>
    </row>
    <row r="22" spans="1:14" x14ac:dyDescent="0.7">
      <c r="A22" s="63"/>
      <c r="B22" s="83" t="s">
        <v>195</v>
      </c>
      <c r="C22" s="80" t="s">
        <v>25</v>
      </c>
      <c r="D22" s="63" t="s">
        <v>173</v>
      </c>
      <c r="E22" s="180">
        <v>8</v>
      </c>
      <c r="F22" s="80"/>
      <c r="G22" s="80"/>
      <c r="H22" s="80"/>
      <c r="I22" s="180">
        <f>PRODUCT(E22:H22)</f>
        <v>8</v>
      </c>
      <c r="J22" s="80"/>
      <c r="N22" s="179">
        <f>SUM(N19:N21)</f>
        <v>66</v>
      </c>
    </row>
    <row r="23" spans="1:14" x14ac:dyDescent="0.7">
      <c r="A23" s="63">
        <v>6</v>
      </c>
      <c r="B23" s="83" t="s">
        <v>196</v>
      </c>
      <c r="C23" s="63" t="s">
        <v>65</v>
      </c>
      <c r="D23" s="63"/>
      <c r="E23" s="181">
        <f>15*4</f>
        <v>60</v>
      </c>
      <c r="F23" s="63"/>
      <c r="G23" s="63"/>
      <c r="H23" s="63"/>
      <c r="I23" s="181">
        <f>PRODUCT(E23:H23)</f>
        <v>60</v>
      </c>
      <c r="J23" s="63"/>
    </row>
    <row r="24" spans="1:14" x14ac:dyDescent="0.7">
      <c r="A24" s="63">
        <v>7</v>
      </c>
      <c r="B24" s="94" t="s">
        <v>197</v>
      </c>
      <c r="C24" s="80" t="s">
        <v>51</v>
      </c>
      <c r="D24" s="80" t="s">
        <v>173</v>
      </c>
      <c r="E24" s="180">
        <v>1</v>
      </c>
      <c r="F24" s="80"/>
      <c r="G24" s="80"/>
      <c r="H24" s="80"/>
      <c r="I24" s="180">
        <v>10</v>
      </c>
      <c r="J24" s="80"/>
    </row>
    <row r="25" spans="1:14" x14ac:dyDescent="0.7">
      <c r="A25" s="63">
        <v>8</v>
      </c>
      <c r="B25" s="94" t="s">
        <v>198</v>
      </c>
      <c r="C25" s="80" t="s">
        <v>51</v>
      </c>
      <c r="D25" s="80" t="s">
        <v>173</v>
      </c>
      <c r="E25" s="180">
        <v>1</v>
      </c>
      <c r="F25" s="80"/>
      <c r="G25" s="80"/>
      <c r="H25" s="80"/>
      <c r="I25" s="180">
        <v>5</v>
      </c>
      <c r="J25" s="80"/>
    </row>
    <row r="26" spans="1:14" x14ac:dyDescent="0.7">
      <c r="A26" s="63">
        <v>9</v>
      </c>
      <c r="B26" s="94" t="s">
        <v>199</v>
      </c>
      <c r="C26" s="63" t="s">
        <v>25</v>
      </c>
      <c r="D26" s="80" t="s">
        <v>181</v>
      </c>
      <c r="E26" s="180">
        <v>16</v>
      </c>
      <c r="F26" s="63"/>
      <c r="G26" s="63"/>
      <c r="H26" s="63"/>
      <c r="I26" s="187">
        <v>16</v>
      </c>
      <c r="J26" s="80"/>
    </row>
    <row r="27" spans="1:14" ht="34" x14ac:dyDescent="0.7">
      <c r="A27" s="188">
        <v>10</v>
      </c>
      <c r="B27" s="94" t="s">
        <v>200</v>
      </c>
      <c r="C27" s="80" t="s">
        <v>46</v>
      </c>
      <c r="D27" s="80" t="s">
        <v>173</v>
      </c>
      <c r="E27" s="180">
        <v>1</v>
      </c>
      <c r="F27" s="80">
        <f>N22</f>
        <v>66</v>
      </c>
      <c r="G27" s="80"/>
      <c r="H27" s="80"/>
      <c r="I27" s="180">
        <f>F27*E27</f>
        <v>66</v>
      </c>
      <c r="J27" s="80"/>
    </row>
    <row r="28" spans="1:14" ht="34" x14ac:dyDescent="0.7">
      <c r="A28" s="188">
        <v>11</v>
      </c>
      <c r="B28" s="83" t="s">
        <v>201</v>
      </c>
      <c r="C28" s="63" t="s">
        <v>46</v>
      </c>
      <c r="D28" s="63" t="s">
        <v>173</v>
      </c>
      <c r="E28" s="181">
        <v>1</v>
      </c>
      <c r="F28" s="63">
        <v>76</v>
      </c>
      <c r="G28" s="63"/>
      <c r="H28" s="63"/>
      <c r="I28" s="181">
        <f>E28*F28</f>
        <v>76</v>
      </c>
      <c r="J28" s="63" t="s">
        <v>202</v>
      </c>
    </row>
    <row r="29" spans="1:14" x14ac:dyDescent="0.7">
      <c r="A29" s="63">
        <v>12</v>
      </c>
      <c r="B29" s="94" t="s">
        <v>203</v>
      </c>
      <c r="C29" s="80" t="s">
        <v>56</v>
      </c>
      <c r="D29" s="80" t="s">
        <v>173</v>
      </c>
      <c r="E29" s="80">
        <v>12</v>
      </c>
      <c r="F29" s="80">
        <v>3.2</v>
      </c>
      <c r="G29" s="80">
        <v>0.8</v>
      </c>
      <c r="H29" s="80">
        <v>0.1</v>
      </c>
      <c r="I29" s="80">
        <f>H29*G29*F29*E29*2</f>
        <v>6.1440000000000019</v>
      </c>
      <c r="J29" s="80"/>
    </row>
    <row r="30" spans="1:14" ht="51" x14ac:dyDescent="0.7">
      <c r="A30" s="63">
        <v>13</v>
      </c>
      <c r="B30" s="94" t="s">
        <v>204</v>
      </c>
      <c r="C30" s="80" t="s">
        <v>175</v>
      </c>
      <c r="D30" s="80" t="s">
        <v>173</v>
      </c>
      <c r="E30" s="80">
        <v>14</v>
      </c>
      <c r="F30" s="80">
        <v>1.5</v>
      </c>
      <c r="G30" s="80">
        <v>1.2</v>
      </c>
      <c r="H30" s="80"/>
      <c r="I30" s="80">
        <f>E30*F30*G30* 50</f>
        <v>1260</v>
      </c>
      <c r="J30" s="80" t="s">
        <v>205</v>
      </c>
    </row>
    <row r="31" spans="1:14" x14ac:dyDescent="0.7">
      <c r="A31" s="63">
        <v>14</v>
      </c>
      <c r="B31" s="94" t="s">
        <v>206</v>
      </c>
      <c r="C31" s="80"/>
      <c r="D31" s="94"/>
      <c r="E31" s="94"/>
      <c r="F31" s="94"/>
      <c r="G31" s="94"/>
      <c r="H31" s="94"/>
      <c r="I31" s="253"/>
    </row>
    <row r="32" spans="1:14" x14ac:dyDescent="0.7">
      <c r="A32" s="63">
        <v>15</v>
      </c>
      <c r="B32" s="94" t="s">
        <v>207</v>
      </c>
      <c r="C32" s="80" t="s">
        <v>51</v>
      </c>
      <c r="D32" s="94" t="s">
        <v>181</v>
      </c>
      <c r="E32" s="80">
        <v>4</v>
      </c>
      <c r="F32" s="94">
        <v>0.5</v>
      </c>
      <c r="G32" s="94">
        <v>0.5</v>
      </c>
      <c r="H32" s="94">
        <v>0.5</v>
      </c>
      <c r="I32" s="254">
        <f>E32*F32*G32*H32</f>
        <v>0.5</v>
      </c>
    </row>
    <row r="33" spans="1:9" x14ac:dyDescent="0.7">
      <c r="A33" s="63" t="s">
        <v>16</v>
      </c>
      <c r="B33" s="94" t="s">
        <v>208</v>
      </c>
      <c r="C33" s="80" t="s">
        <v>51</v>
      </c>
      <c r="D33" s="94" t="s">
        <v>181</v>
      </c>
      <c r="E33" s="80">
        <v>10</v>
      </c>
      <c r="F33" s="94">
        <v>0.5</v>
      </c>
      <c r="G33" s="94">
        <v>0.5</v>
      </c>
      <c r="H33" s="94">
        <v>0.5</v>
      </c>
      <c r="I33" s="254">
        <f>E33*F33*G33*H33</f>
        <v>1.25</v>
      </c>
    </row>
  </sheetData>
  <mergeCells count="8">
    <mergeCell ref="I2:I3"/>
    <mergeCell ref="J2:J3"/>
    <mergeCell ref="A2:A3"/>
    <mergeCell ref="B2:B3"/>
    <mergeCell ref="C2:C3"/>
    <mergeCell ref="D2:D3"/>
    <mergeCell ref="E2:E3"/>
    <mergeCell ref="F2:H2"/>
  </mergeCells>
  <pageMargins left="0.7" right="0.7" top="0.75" bottom="0.75" header="0.3" footer="0.3"/>
  <pageSetup scale="71"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D139-9020-48D0-9411-2C592F85EE49}">
  <sheetPr>
    <tabColor theme="7" tint="-0.249977111117893"/>
  </sheetPr>
  <dimension ref="A1:U23"/>
  <sheetViews>
    <sheetView view="pageBreakPreview" zoomScale="85" zoomScaleNormal="85" zoomScaleSheetLayoutView="85" workbookViewId="0">
      <pane xSplit="1" ySplit="3" topLeftCell="B21" activePane="bottomRight" state="frozen"/>
      <selection pane="topRight" activeCell="B4" sqref="B4"/>
      <selection pane="bottomLeft" activeCell="B4" sqref="B4"/>
      <selection pane="bottomRight" activeCell="J14" sqref="J14"/>
    </sheetView>
  </sheetViews>
  <sheetFormatPr defaultColWidth="8.7265625" defaultRowHeight="17" x14ac:dyDescent="0.7"/>
  <cols>
    <col min="1" max="1" width="5.1796875" style="67" bestFit="1" customWidth="1"/>
    <col min="2" max="2" width="48.81640625" style="74" customWidth="1"/>
    <col min="3" max="4" width="9.1796875" style="62" customWidth="1"/>
    <col min="5" max="5" width="6.453125" style="62" customWidth="1"/>
    <col min="6" max="6" width="12.1796875" style="62" customWidth="1"/>
    <col min="7" max="7" width="10.7265625" style="62" customWidth="1"/>
    <col min="8" max="8" width="12.1796875" style="62" customWidth="1"/>
    <col min="9" max="9" width="11.54296875" style="62" customWidth="1"/>
    <col min="10" max="10" width="13.1796875" style="74" customWidth="1"/>
    <col min="11" max="16384" width="8.7265625" style="74"/>
  </cols>
  <sheetData>
    <row r="1" spans="1:21" x14ac:dyDescent="0.7">
      <c r="A1" s="380" t="s">
        <v>516</v>
      </c>
      <c r="B1" s="381"/>
      <c r="C1" s="381"/>
      <c r="D1" s="381"/>
      <c r="E1" s="381"/>
      <c r="F1" s="381"/>
      <c r="G1" s="381"/>
      <c r="H1" s="381"/>
      <c r="I1" s="381"/>
      <c r="J1" s="382"/>
    </row>
    <row r="2" spans="1:21" s="60" customFormat="1" x14ac:dyDescent="0.35">
      <c r="A2" s="298" t="s">
        <v>2</v>
      </c>
      <c r="B2" s="299" t="s">
        <v>160</v>
      </c>
      <c r="C2" s="299" t="s">
        <v>161</v>
      </c>
      <c r="D2" s="299" t="s">
        <v>162</v>
      </c>
      <c r="E2" s="299" t="s">
        <v>25</v>
      </c>
      <c r="F2" s="299" t="s">
        <v>163</v>
      </c>
      <c r="G2" s="299"/>
      <c r="H2" s="299"/>
      <c r="I2" s="293" t="s">
        <v>5</v>
      </c>
      <c r="J2" s="294" t="s">
        <v>8</v>
      </c>
    </row>
    <row r="3" spans="1:21" s="60" customFormat="1" x14ac:dyDescent="0.35">
      <c r="A3" s="298"/>
      <c r="B3" s="299"/>
      <c r="C3" s="299"/>
      <c r="D3" s="299"/>
      <c r="E3" s="299"/>
      <c r="F3" s="271" t="s">
        <v>165</v>
      </c>
      <c r="G3" s="271" t="s">
        <v>166</v>
      </c>
      <c r="H3" s="271" t="s">
        <v>167</v>
      </c>
      <c r="I3" s="293"/>
      <c r="J3" s="294"/>
    </row>
    <row r="4" spans="1:21" x14ac:dyDescent="0.7">
      <c r="A4" s="166">
        <v>1</v>
      </c>
      <c r="B4" s="82" t="s">
        <v>517</v>
      </c>
      <c r="C4" s="59"/>
      <c r="D4" s="59"/>
      <c r="E4" s="59"/>
      <c r="F4" s="59"/>
      <c r="G4" s="59"/>
      <c r="H4" s="59"/>
      <c r="I4" s="59"/>
      <c r="J4" s="236"/>
    </row>
    <row r="5" spans="1:21" ht="34" x14ac:dyDescent="0.7">
      <c r="A5" s="286" t="s">
        <v>177</v>
      </c>
      <c r="B5" s="83" t="s">
        <v>518</v>
      </c>
      <c r="C5" s="59" t="s">
        <v>42</v>
      </c>
      <c r="D5" s="59" t="s">
        <v>181</v>
      </c>
      <c r="E5" s="61">
        <v>1</v>
      </c>
      <c r="F5" s="61">
        <v>18.5</v>
      </c>
      <c r="G5" s="59">
        <v>3.2</v>
      </c>
      <c r="H5" s="59"/>
      <c r="I5" s="84">
        <f>F5*G5</f>
        <v>59.2</v>
      </c>
      <c r="J5" s="236"/>
    </row>
    <row r="6" spans="1:21" ht="34" x14ac:dyDescent="0.7">
      <c r="A6" s="286" t="s">
        <v>183</v>
      </c>
      <c r="B6" s="83" t="s">
        <v>519</v>
      </c>
      <c r="C6" s="59" t="s">
        <v>42</v>
      </c>
      <c r="D6" s="59" t="s">
        <v>221</v>
      </c>
      <c r="E6" s="61">
        <v>1</v>
      </c>
      <c r="F6" s="61">
        <v>23</v>
      </c>
      <c r="G6" s="59">
        <v>3.7</v>
      </c>
      <c r="H6" s="59"/>
      <c r="I6" s="84">
        <f>F6*G6</f>
        <v>85.100000000000009</v>
      </c>
      <c r="J6" s="236"/>
    </row>
    <row r="7" spans="1:21" x14ac:dyDescent="0.7">
      <c r="A7" s="167"/>
      <c r="B7" s="73"/>
      <c r="C7" s="59"/>
      <c r="D7" s="59"/>
      <c r="E7" s="59"/>
      <c r="F7" s="59"/>
      <c r="G7" s="299" t="s">
        <v>337</v>
      </c>
      <c r="H7" s="299"/>
      <c r="I7" s="59">
        <f>SUM(I5:I6)</f>
        <v>144.30000000000001</v>
      </c>
      <c r="J7" s="236"/>
    </row>
    <row r="8" spans="1:21" x14ac:dyDescent="0.7">
      <c r="A8" s="237">
        <v>2</v>
      </c>
      <c r="B8" s="85" t="s">
        <v>520</v>
      </c>
      <c r="C8" s="82"/>
      <c r="D8" s="82"/>
      <c r="E8" s="82"/>
      <c r="F8" s="82"/>
      <c r="G8" s="82"/>
      <c r="H8" s="82"/>
      <c r="I8" s="82"/>
      <c r="J8" s="238"/>
    </row>
    <row r="9" spans="1:21" ht="51" x14ac:dyDescent="0.7">
      <c r="A9" s="286"/>
      <c r="B9" s="178" t="s">
        <v>521</v>
      </c>
      <c r="C9" s="58"/>
      <c r="D9" s="59"/>
      <c r="E9" s="58"/>
      <c r="F9" s="58"/>
      <c r="G9" s="58"/>
      <c r="H9" s="58"/>
      <c r="I9" s="58"/>
      <c r="J9" s="184"/>
    </row>
    <row r="10" spans="1:21" x14ac:dyDescent="0.7">
      <c r="A10" s="191" t="s">
        <v>177</v>
      </c>
      <c r="B10" s="91" t="s">
        <v>522</v>
      </c>
      <c r="C10" s="88" t="s">
        <v>13</v>
      </c>
      <c r="D10" s="90" t="s">
        <v>181</v>
      </c>
      <c r="E10" s="88">
        <v>1</v>
      </c>
      <c r="F10" s="88">
        <v>15</v>
      </c>
      <c r="G10" s="88">
        <v>11.7</v>
      </c>
      <c r="H10" s="88"/>
      <c r="I10" s="88">
        <f>PRODUCT(E10:H10)</f>
        <v>175.5</v>
      </c>
      <c r="J10" s="184"/>
    </row>
    <row r="11" spans="1:21" x14ac:dyDescent="0.7">
      <c r="A11" s="165"/>
      <c r="B11" s="89"/>
      <c r="C11" s="88" t="s">
        <v>13</v>
      </c>
      <c r="D11" s="90" t="s">
        <v>181</v>
      </c>
      <c r="E11" s="90">
        <v>1</v>
      </c>
      <c r="F11" s="90">
        <v>8</v>
      </c>
      <c r="G11" s="90">
        <v>1.5</v>
      </c>
      <c r="H11" s="90"/>
      <c r="I11" s="241">
        <f>PRODUCT(E11:H11)</f>
        <v>12</v>
      </c>
      <c r="J11" s="236"/>
    </row>
    <row r="12" spans="1:21" x14ac:dyDescent="0.7">
      <c r="A12" s="167"/>
      <c r="B12" s="73"/>
      <c r="C12" s="59"/>
      <c r="D12" s="59"/>
      <c r="E12" s="59"/>
      <c r="F12" s="59"/>
      <c r="G12" s="299" t="s">
        <v>337</v>
      </c>
      <c r="H12" s="299"/>
      <c r="I12" s="59">
        <f>SUM(I10:I11)</f>
        <v>187.5</v>
      </c>
      <c r="J12" s="236"/>
    </row>
    <row r="13" spans="1:21" x14ac:dyDescent="0.7">
      <c r="A13" s="167">
        <v>3</v>
      </c>
      <c r="B13" s="82" t="s">
        <v>523</v>
      </c>
      <c r="C13" s="82"/>
      <c r="D13" s="82"/>
      <c r="E13" s="82"/>
      <c r="F13" s="82"/>
      <c r="G13" s="82"/>
      <c r="H13" s="82"/>
      <c r="I13" s="82"/>
      <c r="J13" s="238"/>
    </row>
    <row r="14" spans="1:21" ht="34" x14ac:dyDescent="0.7">
      <c r="A14" s="286"/>
      <c r="B14" s="178" t="s">
        <v>524</v>
      </c>
      <c r="C14" s="58"/>
      <c r="D14" s="59"/>
      <c r="E14" s="58"/>
      <c r="F14" s="58"/>
      <c r="G14" s="58"/>
      <c r="H14" s="58"/>
      <c r="I14" s="58"/>
      <c r="J14" s="184"/>
    </row>
    <row r="15" spans="1:21" x14ac:dyDescent="0.7">
      <c r="A15" s="407" t="s">
        <v>177</v>
      </c>
      <c r="B15" s="83" t="s">
        <v>525</v>
      </c>
      <c r="C15" s="58" t="s">
        <v>13</v>
      </c>
      <c r="D15" s="59" t="s">
        <v>181</v>
      </c>
      <c r="E15" s="58">
        <v>1</v>
      </c>
      <c r="F15" s="58">
        <v>5</v>
      </c>
      <c r="G15" s="58">
        <v>0.5</v>
      </c>
      <c r="H15" s="58"/>
      <c r="I15" s="58">
        <f>PRODUCT(E15:H15)</f>
        <v>2.5</v>
      </c>
      <c r="J15" s="239"/>
    </row>
    <row r="16" spans="1:21" x14ac:dyDescent="0.7">
      <c r="A16" s="407"/>
      <c r="B16" s="91" t="s">
        <v>526</v>
      </c>
      <c r="C16" s="88" t="s">
        <v>13</v>
      </c>
      <c r="D16" s="90" t="s">
        <v>173</v>
      </c>
      <c r="E16" s="88">
        <v>14</v>
      </c>
      <c r="F16" s="88">
        <v>1.6</v>
      </c>
      <c r="G16" s="88">
        <v>1.2</v>
      </c>
      <c r="H16" s="88"/>
      <c r="I16" s="88">
        <f>PRODUCT(E16:H16)</f>
        <v>26.880000000000003</v>
      </c>
      <c r="J16" s="239"/>
      <c r="M16" s="92"/>
      <c r="N16" s="92"/>
      <c r="O16" s="92"/>
      <c r="P16" s="92"/>
      <c r="Q16" s="92"/>
      <c r="R16" s="92"/>
      <c r="S16" s="92"/>
      <c r="T16" s="92"/>
      <c r="U16" s="92"/>
    </row>
    <row r="17" spans="1:10" x14ac:dyDescent="0.7">
      <c r="A17" s="407"/>
      <c r="B17" s="91" t="s">
        <v>527</v>
      </c>
      <c r="C17" s="88" t="s">
        <v>13</v>
      </c>
      <c r="D17" s="90" t="s">
        <v>181</v>
      </c>
      <c r="E17" s="88">
        <v>1</v>
      </c>
      <c r="F17" s="88">
        <v>5.7</v>
      </c>
      <c r="G17" s="88">
        <v>1.2</v>
      </c>
      <c r="H17" s="88"/>
      <c r="I17" s="88">
        <f>PRODUCT(E17:H17)</f>
        <v>6.84</v>
      </c>
      <c r="J17" s="164"/>
    </row>
    <row r="18" spans="1:10" x14ac:dyDescent="0.7">
      <c r="A18" s="407"/>
      <c r="B18" s="83" t="s">
        <v>528</v>
      </c>
      <c r="C18" s="59" t="s">
        <v>13</v>
      </c>
      <c r="D18" s="59" t="s">
        <v>173</v>
      </c>
      <c r="E18" s="59">
        <v>1</v>
      </c>
      <c r="F18" s="59">
        <v>15</v>
      </c>
      <c r="G18" s="59">
        <v>5</v>
      </c>
      <c r="H18" s="59"/>
      <c r="I18" s="59">
        <f>PRODUCT(E18:H18)</f>
        <v>75</v>
      </c>
      <c r="J18" s="164"/>
    </row>
    <row r="19" spans="1:10" x14ac:dyDescent="0.7">
      <c r="A19" s="167"/>
      <c r="B19" s="73"/>
      <c r="C19" s="59"/>
      <c r="D19" s="59"/>
      <c r="E19" s="59"/>
      <c r="F19" s="59"/>
      <c r="G19" s="299" t="s">
        <v>337</v>
      </c>
      <c r="H19" s="299"/>
      <c r="I19" s="59">
        <f>SUM(I15:I18)</f>
        <v>111.22</v>
      </c>
      <c r="J19" s="164"/>
    </row>
    <row r="20" spans="1:10" ht="51" x14ac:dyDescent="0.7">
      <c r="A20" s="286">
        <v>4</v>
      </c>
      <c r="B20" s="178" t="s">
        <v>529</v>
      </c>
      <c r="C20" s="58"/>
      <c r="D20" s="59"/>
      <c r="E20" s="58"/>
      <c r="F20" s="58"/>
      <c r="G20" s="58"/>
      <c r="H20" s="58"/>
      <c r="I20" s="58"/>
      <c r="J20" s="184"/>
    </row>
    <row r="21" spans="1:10" x14ac:dyDescent="0.7">
      <c r="A21" s="286"/>
      <c r="B21" s="83" t="s">
        <v>530</v>
      </c>
      <c r="C21" s="58" t="s">
        <v>13</v>
      </c>
      <c r="D21" s="59" t="s">
        <v>181</v>
      </c>
      <c r="E21" s="58">
        <v>20</v>
      </c>
      <c r="F21" s="88">
        <f>1.3*2</f>
        <v>2.6</v>
      </c>
      <c r="G21" s="88">
        <v>0.2</v>
      </c>
      <c r="H21" s="88"/>
      <c r="I21" s="88">
        <f>PRODUCT(E21:H21)</f>
        <v>10.4</v>
      </c>
      <c r="J21" s="240"/>
    </row>
    <row r="22" spans="1:10" x14ac:dyDescent="0.7">
      <c r="A22" s="286"/>
      <c r="B22" s="83" t="s">
        <v>531</v>
      </c>
      <c r="C22" s="58" t="s">
        <v>13</v>
      </c>
      <c r="D22" s="59" t="s">
        <v>181</v>
      </c>
      <c r="E22" s="58">
        <v>20</v>
      </c>
      <c r="F22" s="88">
        <f>1.8*2</f>
        <v>3.6</v>
      </c>
      <c r="G22" s="88">
        <v>0.2</v>
      </c>
      <c r="H22" s="88"/>
      <c r="I22" s="88">
        <f>PRODUCT(E22:H22)</f>
        <v>14.4</v>
      </c>
      <c r="J22" s="240"/>
    </row>
    <row r="23" spans="1:10" ht="17.5" thickBot="1" x14ac:dyDescent="0.75">
      <c r="A23" s="172"/>
      <c r="B23" s="173"/>
      <c r="C23" s="174"/>
      <c r="D23" s="174"/>
      <c r="E23" s="174"/>
      <c r="F23" s="174"/>
      <c r="G23" s="354" t="s">
        <v>337</v>
      </c>
      <c r="H23" s="354"/>
      <c r="I23" s="174">
        <f>SUM(I21:I22)</f>
        <v>24.8</v>
      </c>
      <c r="J23" s="242"/>
    </row>
  </sheetData>
  <autoFilter ref="A3:J6" xr:uid="{44D3CF53-C43C-4AB8-A5E9-37F66FE1B3D0}"/>
  <mergeCells count="14">
    <mergeCell ref="G23:H23"/>
    <mergeCell ref="F2:H2"/>
    <mergeCell ref="I2:I3"/>
    <mergeCell ref="J2:J3"/>
    <mergeCell ref="G19:H19"/>
    <mergeCell ref="A15:A18"/>
    <mergeCell ref="G7:H7"/>
    <mergeCell ref="G12:H12"/>
    <mergeCell ref="A1:J1"/>
    <mergeCell ref="A2:A3"/>
    <mergeCell ref="B2:B3"/>
    <mergeCell ref="C2:C3"/>
    <mergeCell ref="D2:D3"/>
    <mergeCell ref="E2:E3"/>
  </mergeCells>
  <pageMargins left="0.7" right="0.7" top="0.75" bottom="0.75" header="0.3" footer="0.3"/>
  <pageSetup scale="65" orientation="portrait" r:id="rId1"/>
  <ignoredErrors>
    <ignoredError sqref="I19"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0058-B4DB-4880-8F33-409BA963BEBF}">
  <dimension ref="A1:L104"/>
  <sheetViews>
    <sheetView view="pageBreakPreview" topLeftCell="B18" zoomScale="85" zoomScaleNormal="100" zoomScaleSheetLayoutView="85" workbookViewId="0">
      <selection activeCell="K29" sqref="K29"/>
    </sheetView>
  </sheetViews>
  <sheetFormatPr defaultColWidth="8.81640625" defaultRowHeight="17" x14ac:dyDescent="0.7"/>
  <cols>
    <col min="1" max="1" width="8.81640625" style="67"/>
    <col min="2" max="2" width="48.81640625" style="67" customWidth="1"/>
    <col min="3" max="3" width="8.81640625" style="67"/>
    <col min="4" max="4" width="19.81640625" style="67" customWidth="1"/>
    <col min="5" max="6" width="8.81640625" style="67"/>
    <col min="7" max="7" width="12.7265625" style="67" customWidth="1"/>
    <col min="8" max="8" width="8.81640625" style="67"/>
    <col min="9" max="9" width="40.7265625" style="67" customWidth="1"/>
    <col min="10" max="10" width="11.81640625" style="67" customWidth="1"/>
    <col min="11" max="11" width="11.54296875" style="67" customWidth="1"/>
    <col min="12" max="12" width="13.453125" style="67" customWidth="1"/>
    <col min="13" max="16384" width="8.81640625" style="67"/>
  </cols>
  <sheetData>
    <row r="1" spans="1:12" s="75" customFormat="1" ht="21" customHeight="1" x14ac:dyDescent="0.7">
      <c r="A1" s="408" t="s">
        <v>532</v>
      </c>
      <c r="B1" s="408"/>
      <c r="C1" s="408"/>
      <c r="D1" s="408"/>
    </row>
    <row r="2" spans="1:12" s="75" customFormat="1" ht="21" customHeight="1" x14ac:dyDescent="0.7">
      <c r="A2" s="287" t="s">
        <v>533</v>
      </c>
      <c r="B2" s="287" t="s">
        <v>534</v>
      </c>
      <c r="C2" s="287" t="s">
        <v>25</v>
      </c>
      <c r="D2" s="287" t="s">
        <v>535</v>
      </c>
      <c r="H2" s="409" t="s">
        <v>536</v>
      </c>
      <c r="I2" s="409"/>
      <c r="J2" s="409"/>
      <c r="K2" s="409"/>
      <c r="L2" s="409"/>
    </row>
    <row r="3" spans="1:12" x14ac:dyDescent="0.7">
      <c r="A3" s="66">
        <v>1</v>
      </c>
      <c r="B3" s="66" t="s">
        <v>537</v>
      </c>
      <c r="C3" s="66" t="s">
        <v>25</v>
      </c>
      <c r="D3" s="66" t="s">
        <v>535</v>
      </c>
      <c r="H3" s="68" t="s">
        <v>533</v>
      </c>
      <c r="I3" s="68" t="s">
        <v>538</v>
      </c>
      <c r="J3" s="68" t="s">
        <v>161</v>
      </c>
      <c r="K3" s="68" t="s">
        <v>539</v>
      </c>
      <c r="L3" s="68" t="s">
        <v>540</v>
      </c>
    </row>
    <row r="4" spans="1:12" x14ac:dyDescent="0.7">
      <c r="A4" s="58">
        <v>1</v>
      </c>
      <c r="B4" s="71" t="s">
        <v>541</v>
      </c>
      <c r="C4" s="71">
        <v>2</v>
      </c>
      <c r="D4" s="58" t="s">
        <v>542</v>
      </c>
      <c r="H4" s="58">
        <v>1</v>
      </c>
      <c r="I4" s="58" t="s">
        <v>543</v>
      </c>
      <c r="J4" s="58" t="s">
        <v>25</v>
      </c>
      <c r="K4" s="58">
        <v>10</v>
      </c>
      <c r="L4" s="58">
        <f>K4*50%</f>
        <v>5</v>
      </c>
    </row>
    <row r="5" spans="1:12" x14ac:dyDescent="0.7">
      <c r="A5" s="58">
        <f t="shared" ref="A5:A15" si="0">+A4+1</f>
        <v>2</v>
      </c>
      <c r="B5" s="71" t="s">
        <v>544</v>
      </c>
      <c r="C5" s="71">
        <v>2</v>
      </c>
      <c r="D5" s="58" t="s">
        <v>545</v>
      </c>
      <c r="H5" s="58">
        <f t="shared" ref="H5:H19" si="1">+H4+1</f>
        <v>2</v>
      </c>
      <c r="I5" s="58" t="s">
        <v>546</v>
      </c>
      <c r="J5" s="58" t="s">
        <v>25</v>
      </c>
      <c r="K5" s="58">
        <v>6</v>
      </c>
      <c r="L5" s="58"/>
    </row>
    <row r="6" spans="1:12" x14ac:dyDescent="0.7">
      <c r="A6" s="58">
        <f t="shared" si="0"/>
        <v>3</v>
      </c>
      <c r="B6" s="71" t="s">
        <v>547</v>
      </c>
      <c r="C6" s="71">
        <v>4</v>
      </c>
      <c r="D6" s="58" t="s">
        <v>545</v>
      </c>
      <c r="H6" s="58">
        <f t="shared" si="1"/>
        <v>3</v>
      </c>
      <c r="I6" s="58" t="s">
        <v>548</v>
      </c>
      <c r="J6" s="58" t="s">
        <v>25</v>
      </c>
      <c r="K6" s="58">
        <v>3</v>
      </c>
      <c r="L6" s="58">
        <f>K6*100%</f>
        <v>3</v>
      </c>
    </row>
    <row r="7" spans="1:12" x14ac:dyDescent="0.7">
      <c r="A7" s="58">
        <f t="shared" si="0"/>
        <v>4</v>
      </c>
      <c r="B7" s="71" t="s">
        <v>549</v>
      </c>
      <c r="C7" s="71">
        <v>4</v>
      </c>
      <c r="D7" s="58" t="s">
        <v>545</v>
      </c>
      <c r="H7" s="58">
        <f t="shared" si="1"/>
        <v>4</v>
      </c>
      <c r="I7" s="58" t="s">
        <v>541</v>
      </c>
      <c r="J7" s="58" t="s">
        <v>25</v>
      </c>
      <c r="K7" s="58">
        <v>8</v>
      </c>
      <c r="L7" s="58">
        <f>ROUND(K7*70%,0)</f>
        <v>6</v>
      </c>
    </row>
    <row r="8" spans="1:12" x14ac:dyDescent="0.7">
      <c r="A8" s="58">
        <f t="shared" si="0"/>
        <v>5</v>
      </c>
      <c r="B8" s="71" t="s">
        <v>550</v>
      </c>
      <c r="C8" s="71">
        <v>8</v>
      </c>
      <c r="D8" s="58" t="s">
        <v>545</v>
      </c>
      <c r="H8" s="58">
        <f t="shared" si="1"/>
        <v>5</v>
      </c>
      <c r="I8" s="58" t="s">
        <v>544</v>
      </c>
      <c r="J8" s="58" t="s">
        <v>25</v>
      </c>
      <c r="K8" s="58">
        <v>18</v>
      </c>
      <c r="L8" s="58">
        <f>ROUND(K8*70%,0)</f>
        <v>13</v>
      </c>
    </row>
    <row r="9" spans="1:12" x14ac:dyDescent="0.7">
      <c r="A9" s="58">
        <f t="shared" si="0"/>
        <v>6</v>
      </c>
      <c r="B9" s="71" t="s">
        <v>551</v>
      </c>
      <c r="C9" s="71">
        <v>5</v>
      </c>
      <c r="D9" s="58" t="s">
        <v>545</v>
      </c>
      <c r="H9" s="58">
        <f t="shared" si="1"/>
        <v>6</v>
      </c>
      <c r="I9" s="58" t="s">
        <v>547</v>
      </c>
      <c r="J9" s="58" t="s">
        <v>25</v>
      </c>
      <c r="K9" s="58">
        <v>24</v>
      </c>
      <c r="L9" s="58">
        <f>ROUND(K9*70%,0)</f>
        <v>17</v>
      </c>
    </row>
    <row r="10" spans="1:12" x14ac:dyDescent="0.7">
      <c r="A10" s="58">
        <f t="shared" si="0"/>
        <v>7</v>
      </c>
      <c r="B10" s="71" t="s">
        <v>546</v>
      </c>
      <c r="C10" s="71">
        <v>1</v>
      </c>
      <c r="D10" s="58" t="s">
        <v>545</v>
      </c>
      <c r="H10" s="58">
        <f t="shared" si="1"/>
        <v>7</v>
      </c>
      <c r="I10" s="58" t="s">
        <v>549</v>
      </c>
      <c r="J10" s="58" t="s">
        <v>25</v>
      </c>
      <c r="K10" s="58">
        <v>24</v>
      </c>
      <c r="L10" s="58">
        <f>ROUND(K10*100%,0)</f>
        <v>24</v>
      </c>
    </row>
    <row r="11" spans="1:12" x14ac:dyDescent="0.7">
      <c r="A11" s="58">
        <f t="shared" si="0"/>
        <v>8</v>
      </c>
      <c r="B11" s="71" t="s">
        <v>552</v>
      </c>
      <c r="C11" s="71">
        <v>1</v>
      </c>
      <c r="D11" s="58" t="s">
        <v>553</v>
      </c>
      <c r="H11" s="58">
        <f t="shared" si="1"/>
        <v>8</v>
      </c>
      <c r="I11" s="58" t="s">
        <v>550</v>
      </c>
      <c r="J11" s="58" t="s">
        <v>25</v>
      </c>
      <c r="K11" s="58">
        <v>64</v>
      </c>
      <c r="L11" s="58">
        <f>ROUND(K11*70%,0)</f>
        <v>45</v>
      </c>
    </row>
    <row r="12" spans="1:12" x14ac:dyDescent="0.7">
      <c r="A12" s="58">
        <f t="shared" si="0"/>
        <v>9</v>
      </c>
      <c r="B12" s="71" t="s">
        <v>554</v>
      </c>
      <c r="C12" s="71">
        <v>1</v>
      </c>
      <c r="D12" s="58" t="s">
        <v>545</v>
      </c>
      <c r="H12" s="58">
        <f t="shared" si="1"/>
        <v>9</v>
      </c>
      <c r="I12" s="58" t="s">
        <v>551</v>
      </c>
      <c r="J12" s="58" t="s">
        <v>25</v>
      </c>
      <c r="K12" s="58">
        <v>32</v>
      </c>
      <c r="L12" s="58">
        <f>ROUND(K12*100%,0)</f>
        <v>32</v>
      </c>
    </row>
    <row r="13" spans="1:12" x14ac:dyDescent="0.7">
      <c r="A13" s="58">
        <f t="shared" si="0"/>
        <v>10</v>
      </c>
      <c r="B13" s="71" t="s">
        <v>555</v>
      </c>
      <c r="C13" s="71">
        <v>2</v>
      </c>
      <c r="D13" s="58" t="s">
        <v>556</v>
      </c>
      <c r="H13" s="58">
        <f t="shared" si="1"/>
        <v>10</v>
      </c>
      <c r="I13" s="58" t="s">
        <v>552</v>
      </c>
      <c r="J13" s="58" t="s">
        <v>25</v>
      </c>
      <c r="K13" s="58">
        <v>11</v>
      </c>
      <c r="L13" s="58">
        <f t="shared" ref="L13:L21" si="2">K13*100%</f>
        <v>11</v>
      </c>
    </row>
    <row r="14" spans="1:12" x14ac:dyDescent="0.7">
      <c r="A14" s="58">
        <f t="shared" si="0"/>
        <v>11</v>
      </c>
      <c r="B14" s="71" t="s">
        <v>557</v>
      </c>
      <c r="C14" s="71">
        <v>1</v>
      </c>
      <c r="D14" s="58" t="s">
        <v>545</v>
      </c>
      <c r="H14" s="58">
        <f t="shared" si="1"/>
        <v>11</v>
      </c>
      <c r="I14" s="58" t="s">
        <v>554</v>
      </c>
      <c r="J14" s="58" t="s">
        <v>25</v>
      </c>
      <c r="K14" s="58">
        <v>10</v>
      </c>
      <c r="L14" s="58">
        <f t="shared" si="2"/>
        <v>10</v>
      </c>
    </row>
    <row r="15" spans="1:12" x14ac:dyDescent="0.7">
      <c r="A15" s="58">
        <f t="shared" si="0"/>
        <v>12</v>
      </c>
      <c r="B15" s="71" t="s">
        <v>543</v>
      </c>
      <c r="C15" s="71">
        <v>1</v>
      </c>
      <c r="D15" s="58" t="s">
        <v>545</v>
      </c>
      <c r="H15" s="58">
        <f t="shared" si="1"/>
        <v>12</v>
      </c>
      <c r="I15" s="58" t="s">
        <v>558</v>
      </c>
      <c r="J15" s="58" t="s">
        <v>25</v>
      </c>
      <c r="K15" s="58">
        <v>17</v>
      </c>
      <c r="L15" s="58">
        <f t="shared" si="2"/>
        <v>17</v>
      </c>
    </row>
    <row r="16" spans="1:12" x14ac:dyDescent="0.7">
      <c r="A16" s="66">
        <v>2</v>
      </c>
      <c r="B16" s="66" t="s">
        <v>559</v>
      </c>
      <c r="C16" s="66" t="s">
        <v>25</v>
      </c>
      <c r="D16" s="66" t="s">
        <v>535</v>
      </c>
      <c r="H16" s="58">
        <f t="shared" si="1"/>
        <v>13</v>
      </c>
      <c r="I16" s="58" t="s">
        <v>560</v>
      </c>
      <c r="J16" s="58" t="s">
        <v>25</v>
      </c>
      <c r="K16" s="58">
        <v>17</v>
      </c>
      <c r="L16" s="58">
        <f t="shared" si="2"/>
        <v>17</v>
      </c>
    </row>
    <row r="17" spans="1:12" x14ac:dyDescent="0.7">
      <c r="A17" s="58">
        <v>1</v>
      </c>
      <c r="B17" s="71" t="s">
        <v>541</v>
      </c>
      <c r="C17" s="71">
        <v>2</v>
      </c>
      <c r="D17" s="58" t="s">
        <v>545</v>
      </c>
      <c r="H17" s="58">
        <f t="shared" si="1"/>
        <v>14</v>
      </c>
      <c r="I17" s="58" t="s">
        <v>561</v>
      </c>
      <c r="J17" s="58" t="s">
        <v>562</v>
      </c>
      <c r="K17" s="58">
        <f>18+8+8+7+5+4</f>
        <v>50</v>
      </c>
      <c r="L17" s="58">
        <f t="shared" si="2"/>
        <v>50</v>
      </c>
    </row>
    <row r="18" spans="1:12" x14ac:dyDescent="0.7">
      <c r="A18" s="58">
        <f t="shared" ref="A18:A29" si="3">+A17+1</f>
        <v>2</v>
      </c>
      <c r="B18" s="71" t="s">
        <v>544</v>
      </c>
      <c r="C18" s="71">
        <v>2</v>
      </c>
      <c r="D18" s="58" t="s">
        <v>545</v>
      </c>
      <c r="H18" s="58">
        <f t="shared" si="1"/>
        <v>15</v>
      </c>
      <c r="I18" s="58" t="s">
        <v>563</v>
      </c>
      <c r="J18" s="58" t="s">
        <v>25</v>
      </c>
      <c r="K18" s="58">
        <v>3</v>
      </c>
      <c r="L18" s="58">
        <f t="shared" si="2"/>
        <v>3</v>
      </c>
    </row>
    <row r="19" spans="1:12" x14ac:dyDescent="0.7">
      <c r="A19" s="58">
        <f t="shared" si="3"/>
        <v>3</v>
      </c>
      <c r="B19" s="71" t="s">
        <v>547</v>
      </c>
      <c r="C19" s="71">
        <v>3</v>
      </c>
      <c r="D19" s="58" t="s">
        <v>545</v>
      </c>
      <c r="H19" s="58">
        <f t="shared" si="1"/>
        <v>16</v>
      </c>
      <c r="I19" s="58" t="s">
        <v>564</v>
      </c>
      <c r="J19" s="58" t="s">
        <v>25</v>
      </c>
      <c r="K19" s="58">
        <v>6</v>
      </c>
      <c r="L19" s="58">
        <f t="shared" si="2"/>
        <v>6</v>
      </c>
    </row>
    <row r="20" spans="1:12" x14ac:dyDescent="0.7">
      <c r="A20" s="58">
        <f t="shared" si="3"/>
        <v>4</v>
      </c>
      <c r="B20" s="71" t="s">
        <v>549</v>
      </c>
      <c r="C20" s="71">
        <v>3</v>
      </c>
      <c r="D20" s="58" t="s">
        <v>545</v>
      </c>
      <c r="H20" s="59">
        <v>25</v>
      </c>
      <c r="I20" s="76" t="s">
        <v>565</v>
      </c>
      <c r="J20" s="58" t="s">
        <v>91</v>
      </c>
      <c r="K20" s="77">
        <v>3</v>
      </c>
      <c r="L20" s="78">
        <f t="shared" si="2"/>
        <v>3</v>
      </c>
    </row>
    <row r="21" spans="1:12" x14ac:dyDescent="0.7">
      <c r="A21" s="58">
        <f t="shared" si="3"/>
        <v>5</v>
      </c>
      <c r="B21" s="71" t="s">
        <v>550</v>
      </c>
      <c r="C21" s="71">
        <v>7</v>
      </c>
      <c r="D21" s="58" t="s">
        <v>545</v>
      </c>
      <c r="H21" s="59">
        <v>26</v>
      </c>
      <c r="I21" s="268" t="s">
        <v>566</v>
      </c>
      <c r="J21" s="58" t="s">
        <v>91</v>
      </c>
      <c r="K21" s="79">
        <v>4</v>
      </c>
      <c r="L21" s="78">
        <f t="shared" si="2"/>
        <v>4</v>
      </c>
    </row>
    <row r="22" spans="1:12" ht="34" x14ac:dyDescent="0.7">
      <c r="A22" s="58">
        <f t="shared" si="3"/>
        <v>6</v>
      </c>
      <c r="B22" s="71" t="s">
        <v>551</v>
      </c>
      <c r="C22" s="71">
        <v>4</v>
      </c>
      <c r="D22" s="58" t="s">
        <v>545</v>
      </c>
      <c r="H22" s="59">
        <v>27</v>
      </c>
      <c r="I22" s="80" t="s">
        <v>567</v>
      </c>
      <c r="J22" s="58" t="s">
        <v>46</v>
      </c>
      <c r="K22" s="79">
        <v>30</v>
      </c>
      <c r="L22" s="78">
        <v>70</v>
      </c>
    </row>
    <row r="23" spans="1:12" x14ac:dyDescent="0.7">
      <c r="A23" s="58">
        <f t="shared" si="3"/>
        <v>7</v>
      </c>
      <c r="B23" s="71" t="s">
        <v>543</v>
      </c>
      <c r="C23" s="71">
        <v>1</v>
      </c>
      <c r="D23" s="58" t="s">
        <v>545</v>
      </c>
      <c r="H23" s="59">
        <v>28</v>
      </c>
      <c r="I23" s="268" t="s">
        <v>568</v>
      </c>
      <c r="J23" s="58" t="s">
        <v>46</v>
      </c>
      <c r="K23" s="58">
        <v>30</v>
      </c>
      <c r="L23" s="58">
        <v>70</v>
      </c>
    </row>
    <row r="24" spans="1:12" x14ac:dyDescent="0.7">
      <c r="A24" s="58">
        <f t="shared" si="3"/>
        <v>8</v>
      </c>
      <c r="B24" s="71" t="s">
        <v>554</v>
      </c>
      <c r="C24" s="71">
        <v>1</v>
      </c>
      <c r="D24" s="58" t="s">
        <v>545</v>
      </c>
    </row>
    <row r="25" spans="1:12" x14ac:dyDescent="0.7">
      <c r="A25" s="58">
        <f t="shared" si="3"/>
        <v>9</v>
      </c>
      <c r="B25" s="71" t="s">
        <v>555</v>
      </c>
      <c r="C25" s="71">
        <v>2</v>
      </c>
      <c r="D25" s="58" t="s">
        <v>545</v>
      </c>
    </row>
    <row r="26" spans="1:12" x14ac:dyDescent="0.7">
      <c r="A26" s="58">
        <f t="shared" si="3"/>
        <v>10</v>
      </c>
      <c r="B26" s="71" t="s">
        <v>557</v>
      </c>
      <c r="C26" s="71">
        <v>1</v>
      </c>
      <c r="D26" s="58" t="s">
        <v>545</v>
      </c>
    </row>
    <row r="27" spans="1:12" x14ac:dyDescent="0.7">
      <c r="A27" s="58">
        <f t="shared" si="3"/>
        <v>11</v>
      </c>
      <c r="B27" s="69" t="s">
        <v>569</v>
      </c>
      <c r="C27" s="70">
        <v>1</v>
      </c>
      <c r="D27" s="59" t="s">
        <v>570</v>
      </c>
    </row>
    <row r="28" spans="1:12" x14ac:dyDescent="0.7">
      <c r="A28" s="58">
        <f t="shared" si="3"/>
        <v>12</v>
      </c>
      <c r="B28" s="69" t="s">
        <v>571</v>
      </c>
      <c r="C28" s="70" t="s">
        <v>572</v>
      </c>
      <c r="D28" s="59" t="s">
        <v>573</v>
      </c>
    </row>
    <row r="29" spans="1:12" x14ac:dyDescent="0.7">
      <c r="A29" s="58">
        <f t="shared" si="3"/>
        <v>13</v>
      </c>
      <c r="B29" s="69" t="s">
        <v>574</v>
      </c>
      <c r="C29" s="70">
        <v>1</v>
      </c>
      <c r="D29" s="59" t="s">
        <v>570</v>
      </c>
    </row>
    <row r="30" spans="1:12" ht="22.9" customHeight="1" x14ac:dyDescent="0.7">
      <c r="A30" s="66">
        <v>3</v>
      </c>
      <c r="B30" s="66" t="s">
        <v>575</v>
      </c>
      <c r="C30" s="66" t="s">
        <v>25</v>
      </c>
      <c r="D30" s="66" t="s">
        <v>535</v>
      </c>
    </row>
    <row r="31" spans="1:12" x14ac:dyDescent="0.7">
      <c r="A31" s="58">
        <v>1</v>
      </c>
      <c r="B31" s="70" t="s">
        <v>548</v>
      </c>
      <c r="C31" s="70">
        <v>2</v>
      </c>
      <c r="D31" s="59" t="s">
        <v>545</v>
      </c>
    </row>
    <row r="32" spans="1:12" x14ac:dyDescent="0.7">
      <c r="A32" s="58">
        <f t="shared" ref="A32:A46" si="4">+A31+1</f>
        <v>2</v>
      </c>
      <c r="B32" s="70" t="s">
        <v>541</v>
      </c>
      <c r="C32" s="70">
        <v>1</v>
      </c>
      <c r="D32" s="59" t="s">
        <v>545</v>
      </c>
    </row>
    <row r="33" spans="1:4" x14ac:dyDescent="0.7">
      <c r="A33" s="58">
        <f t="shared" si="4"/>
        <v>3</v>
      </c>
      <c r="B33" s="70" t="s">
        <v>544</v>
      </c>
      <c r="C33" s="70">
        <v>3</v>
      </c>
      <c r="D33" s="59" t="s">
        <v>545</v>
      </c>
    </row>
    <row r="34" spans="1:4" x14ac:dyDescent="0.7">
      <c r="A34" s="58">
        <f t="shared" si="4"/>
        <v>4</v>
      </c>
      <c r="B34" s="70" t="s">
        <v>576</v>
      </c>
      <c r="C34" s="70">
        <v>3</v>
      </c>
      <c r="D34" s="59" t="s">
        <v>545</v>
      </c>
    </row>
    <row r="35" spans="1:4" x14ac:dyDescent="0.7">
      <c r="A35" s="58">
        <f t="shared" si="4"/>
        <v>5</v>
      </c>
      <c r="B35" s="70" t="s">
        <v>543</v>
      </c>
      <c r="C35" s="70">
        <v>4</v>
      </c>
      <c r="D35" s="59" t="s">
        <v>577</v>
      </c>
    </row>
    <row r="36" spans="1:4" x14ac:dyDescent="0.7">
      <c r="A36" s="58">
        <f t="shared" si="4"/>
        <v>6</v>
      </c>
      <c r="B36" s="70" t="s">
        <v>555</v>
      </c>
      <c r="C36" s="70">
        <v>5</v>
      </c>
      <c r="D36" s="59" t="s">
        <v>570</v>
      </c>
    </row>
    <row r="37" spans="1:4" x14ac:dyDescent="0.7">
      <c r="A37" s="58">
        <f t="shared" si="4"/>
        <v>7</v>
      </c>
      <c r="B37" s="70" t="s">
        <v>550</v>
      </c>
      <c r="C37" s="70">
        <v>14</v>
      </c>
      <c r="D37" s="59" t="s">
        <v>545</v>
      </c>
    </row>
    <row r="38" spans="1:4" x14ac:dyDescent="0.7">
      <c r="A38" s="58">
        <f t="shared" si="4"/>
        <v>8</v>
      </c>
      <c r="B38" s="70" t="s">
        <v>551</v>
      </c>
      <c r="C38" s="70">
        <v>6</v>
      </c>
      <c r="D38" s="59" t="s">
        <v>545</v>
      </c>
    </row>
    <row r="39" spans="1:4" x14ac:dyDescent="0.7">
      <c r="A39" s="58">
        <f t="shared" si="4"/>
        <v>9</v>
      </c>
      <c r="B39" s="70" t="s">
        <v>549</v>
      </c>
      <c r="C39" s="70">
        <v>7</v>
      </c>
      <c r="D39" s="59" t="s">
        <v>545</v>
      </c>
    </row>
    <row r="40" spans="1:4" x14ac:dyDescent="0.7">
      <c r="A40" s="58">
        <f t="shared" si="4"/>
        <v>10</v>
      </c>
      <c r="B40" s="70" t="s">
        <v>547</v>
      </c>
      <c r="C40" s="70">
        <v>7</v>
      </c>
      <c r="D40" s="59" t="s">
        <v>545</v>
      </c>
    </row>
    <row r="41" spans="1:4" x14ac:dyDescent="0.7">
      <c r="A41" s="58">
        <f t="shared" si="4"/>
        <v>11</v>
      </c>
      <c r="B41" s="70" t="s">
        <v>554</v>
      </c>
      <c r="C41" s="70">
        <v>4</v>
      </c>
      <c r="D41" s="59" t="s">
        <v>545</v>
      </c>
    </row>
    <row r="42" spans="1:4" x14ac:dyDescent="0.7">
      <c r="A42" s="58">
        <f t="shared" si="4"/>
        <v>12</v>
      </c>
      <c r="B42" s="70" t="s">
        <v>560</v>
      </c>
      <c r="C42" s="70">
        <v>7</v>
      </c>
      <c r="D42" s="59" t="s">
        <v>545</v>
      </c>
    </row>
    <row r="43" spans="1:4" x14ac:dyDescent="0.7">
      <c r="A43" s="58">
        <f t="shared" si="4"/>
        <v>13</v>
      </c>
      <c r="B43" s="69" t="s">
        <v>578</v>
      </c>
      <c r="C43" s="70">
        <v>4</v>
      </c>
      <c r="D43" s="59" t="s">
        <v>579</v>
      </c>
    </row>
    <row r="44" spans="1:4" x14ac:dyDescent="0.7">
      <c r="A44" s="58">
        <f t="shared" si="4"/>
        <v>14</v>
      </c>
      <c r="B44" s="69" t="s">
        <v>580</v>
      </c>
      <c r="C44" s="70" t="s">
        <v>572</v>
      </c>
      <c r="D44" s="59" t="s">
        <v>581</v>
      </c>
    </row>
    <row r="45" spans="1:4" x14ac:dyDescent="0.7">
      <c r="A45" s="58">
        <f t="shared" si="4"/>
        <v>15</v>
      </c>
      <c r="B45" s="69" t="s">
        <v>552</v>
      </c>
      <c r="C45" s="70">
        <v>4</v>
      </c>
      <c r="D45" s="59" t="s">
        <v>570</v>
      </c>
    </row>
    <row r="46" spans="1:4" x14ac:dyDescent="0.7">
      <c r="A46" s="58">
        <f t="shared" si="4"/>
        <v>16</v>
      </c>
      <c r="B46" s="69" t="s">
        <v>582</v>
      </c>
      <c r="C46" s="70">
        <v>3</v>
      </c>
      <c r="D46" s="59" t="s">
        <v>570</v>
      </c>
    </row>
    <row r="47" spans="1:4" ht="22.9" customHeight="1" x14ac:dyDescent="0.7">
      <c r="A47" s="66">
        <v>4</v>
      </c>
      <c r="B47" s="66" t="s">
        <v>583</v>
      </c>
      <c r="C47" s="66" t="s">
        <v>25</v>
      </c>
      <c r="D47" s="66" t="s">
        <v>535</v>
      </c>
    </row>
    <row r="48" spans="1:4" x14ac:dyDescent="0.7">
      <c r="A48" s="58">
        <v>1</v>
      </c>
      <c r="B48" s="71" t="s">
        <v>543</v>
      </c>
      <c r="C48" s="71">
        <v>1</v>
      </c>
      <c r="D48" s="58" t="s">
        <v>545</v>
      </c>
    </row>
    <row r="49" spans="1:6" x14ac:dyDescent="0.7">
      <c r="A49" s="58">
        <f t="shared" ref="A49:A59" si="5">+A48+1</f>
        <v>2</v>
      </c>
      <c r="B49" s="71" t="s">
        <v>569</v>
      </c>
      <c r="C49" s="71">
        <v>1</v>
      </c>
      <c r="D49" s="58" t="s">
        <v>584</v>
      </c>
    </row>
    <row r="50" spans="1:6" x14ac:dyDescent="0.7">
      <c r="A50" s="58">
        <f t="shared" si="5"/>
        <v>3</v>
      </c>
      <c r="B50" s="71" t="s">
        <v>541</v>
      </c>
      <c r="C50" s="71">
        <v>2</v>
      </c>
      <c r="D50" s="58" t="s">
        <v>545</v>
      </c>
    </row>
    <row r="51" spans="1:6" x14ac:dyDescent="0.7">
      <c r="A51" s="58">
        <f t="shared" si="5"/>
        <v>4</v>
      </c>
      <c r="B51" s="71" t="s">
        <v>544</v>
      </c>
      <c r="C51" s="71">
        <v>2</v>
      </c>
      <c r="D51" s="58" t="s">
        <v>545</v>
      </c>
    </row>
    <row r="52" spans="1:6" x14ac:dyDescent="0.7">
      <c r="A52" s="58">
        <f t="shared" si="5"/>
        <v>5</v>
      </c>
      <c r="B52" s="71" t="s">
        <v>549</v>
      </c>
      <c r="C52" s="71">
        <v>3</v>
      </c>
      <c r="D52" s="58" t="s">
        <v>545</v>
      </c>
    </row>
    <row r="53" spans="1:6" x14ac:dyDescent="0.7">
      <c r="A53" s="58">
        <f t="shared" si="5"/>
        <v>6</v>
      </c>
      <c r="B53" s="71" t="s">
        <v>547</v>
      </c>
      <c r="C53" s="71">
        <v>3</v>
      </c>
      <c r="D53" s="58" t="s">
        <v>545</v>
      </c>
    </row>
    <row r="54" spans="1:6" x14ac:dyDescent="0.7">
      <c r="A54" s="58">
        <f t="shared" si="5"/>
        <v>7</v>
      </c>
      <c r="B54" s="71" t="s">
        <v>551</v>
      </c>
      <c r="C54" s="71">
        <v>4</v>
      </c>
      <c r="D54" s="58" t="s">
        <v>545</v>
      </c>
    </row>
    <row r="55" spans="1:6" x14ac:dyDescent="0.7">
      <c r="A55" s="58">
        <f t="shared" si="5"/>
        <v>8</v>
      </c>
      <c r="B55" s="71" t="s">
        <v>550</v>
      </c>
      <c r="C55" s="71">
        <v>7</v>
      </c>
      <c r="D55" s="58" t="s">
        <v>545</v>
      </c>
    </row>
    <row r="56" spans="1:6" x14ac:dyDescent="0.7">
      <c r="A56" s="58">
        <f t="shared" si="5"/>
        <v>9</v>
      </c>
      <c r="B56" s="71" t="s">
        <v>554</v>
      </c>
      <c r="C56" s="71">
        <v>1</v>
      </c>
      <c r="D56" s="58" t="s">
        <v>545</v>
      </c>
    </row>
    <row r="57" spans="1:6" x14ac:dyDescent="0.7">
      <c r="A57" s="58">
        <f t="shared" si="5"/>
        <v>10</v>
      </c>
      <c r="B57" s="71" t="s">
        <v>560</v>
      </c>
      <c r="C57" s="71">
        <v>3</v>
      </c>
      <c r="D57" s="58" t="s">
        <v>545</v>
      </c>
      <c r="F57" s="67" t="s">
        <v>585</v>
      </c>
    </row>
    <row r="58" spans="1:6" x14ac:dyDescent="0.7">
      <c r="A58" s="58">
        <f t="shared" si="5"/>
        <v>11</v>
      </c>
      <c r="B58" s="71" t="s">
        <v>555</v>
      </c>
      <c r="C58" s="71">
        <v>2</v>
      </c>
      <c r="D58" s="58" t="s">
        <v>556</v>
      </c>
    </row>
    <row r="59" spans="1:6" x14ac:dyDescent="0.7">
      <c r="A59" s="58">
        <f t="shared" si="5"/>
        <v>12</v>
      </c>
      <c r="B59" s="71" t="s">
        <v>552</v>
      </c>
      <c r="C59" s="71">
        <v>1</v>
      </c>
      <c r="D59" s="58" t="s">
        <v>556</v>
      </c>
    </row>
    <row r="60" spans="1:6" ht="22.9" customHeight="1" x14ac:dyDescent="0.7">
      <c r="A60" s="66">
        <v>5</v>
      </c>
      <c r="B60" s="66" t="s">
        <v>586</v>
      </c>
      <c r="C60" s="66" t="s">
        <v>25</v>
      </c>
      <c r="D60" s="66" t="s">
        <v>535</v>
      </c>
    </row>
    <row r="61" spans="1:6" x14ac:dyDescent="0.7">
      <c r="A61" s="58">
        <v>1</v>
      </c>
      <c r="B61" s="71" t="s">
        <v>587</v>
      </c>
      <c r="C61" s="71">
        <v>1</v>
      </c>
      <c r="D61" s="58" t="s">
        <v>545</v>
      </c>
    </row>
    <row r="62" spans="1:6" x14ac:dyDescent="0.7">
      <c r="A62" s="58">
        <f t="shared" ref="A62:A72" si="6">+A61+1</f>
        <v>2</v>
      </c>
      <c r="B62" s="71" t="s">
        <v>544</v>
      </c>
      <c r="C62" s="71">
        <v>3</v>
      </c>
      <c r="D62" s="58" t="s">
        <v>545</v>
      </c>
    </row>
    <row r="63" spans="1:6" x14ac:dyDescent="0.7">
      <c r="A63" s="58">
        <f t="shared" si="6"/>
        <v>3</v>
      </c>
      <c r="B63" s="69" t="s">
        <v>588</v>
      </c>
      <c r="C63" s="70">
        <v>1</v>
      </c>
      <c r="D63" s="59" t="s">
        <v>573</v>
      </c>
    </row>
    <row r="64" spans="1:6" x14ac:dyDescent="0.7">
      <c r="A64" s="58">
        <f t="shared" si="6"/>
        <v>4</v>
      </c>
      <c r="B64" s="69" t="s">
        <v>574</v>
      </c>
      <c r="C64" s="70">
        <v>1</v>
      </c>
      <c r="D64" s="59" t="s">
        <v>570</v>
      </c>
    </row>
    <row r="65" spans="1:4" x14ac:dyDescent="0.7">
      <c r="A65" s="58">
        <f t="shared" si="6"/>
        <v>5</v>
      </c>
      <c r="B65" s="71" t="s">
        <v>543</v>
      </c>
      <c r="C65" s="71">
        <v>1</v>
      </c>
      <c r="D65" s="58" t="s">
        <v>545</v>
      </c>
    </row>
    <row r="66" spans="1:4" x14ac:dyDescent="0.7">
      <c r="A66" s="58">
        <f t="shared" si="6"/>
        <v>6</v>
      </c>
      <c r="B66" s="71" t="s">
        <v>554</v>
      </c>
      <c r="C66" s="71">
        <v>1</v>
      </c>
      <c r="D66" s="58" t="s">
        <v>545</v>
      </c>
    </row>
    <row r="67" spans="1:4" x14ac:dyDescent="0.7">
      <c r="A67" s="58">
        <f t="shared" si="6"/>
        <v>7</v>
      </c>
      <c r="B67" s="71" t="s">
        <v>555</v>
      </c>
      <c r="C67" s="71">
        <v>2</v>
      </c>
      <c r="D67" s="58" t="s">
        <v>589</v>
      </c>
    </row>
    <row r="68" spans="1:4" x14ac:dyDescent="0.7">
      <c r="A68" s="58">
        <f t="shared" si="6"/>
        <v>8</v>
      </c>
      <c r="B68" s="71" t="s">
        <v>590</v>
      </c>
      <c r="C68" s="71">
        <v>3</v>
      </c>
      <c r="D68" s="58" t="s">
        <v>545</v>
      </c>
    </row>
    <row r="69" spans="1:4" x14ac:dyDescent="0.7">
      <c r="A69" s="58">
        <f t="shared" si="6"/>
        <v>9</v>
      </c>
      <c r="B69" s="71" t="s">
        <v>549</v>
      </c>
      <c r="C69" s="71">
        <v>3</v>
      </c>
      <c r="D69" s="58" t="s">
        <v>545</v>
      </c>
    </row>
    <row r="70" spans="1:4" x14ac:dyDescent="0.7">
      <c r="A70" s="58">
        <f t="shared" si="6"/>
        <v>10</v>
      </c>
      <c r="B70" s="71" t="s">
        <v>591</v>
      </c>
      <c r="C70" s="71">
        <v>7</v>
      </c>
      <c r="D70" s="58" t="s">
        <v>545</v>
      </c>
    </row>
    <row r="71" spans="1:4" x14ac:dyDescent="0.7">
      <c r="A71" s="58">
        <f t="shared" si="6"/>
        <v>11</v>
      </c>
      <c r="B71" s="71" t="s">
        <v>551</v>
      </c>
      <c r="C71" s="71">
        <v>4</v>
      </c>
      <c r="D71" s="58" t="s">
        <v>545</v>
      </c>
    </row>
    <row r="72" spans="1:4" x14ac:dyDescent="0.7">
      <c r="A72" s="58">
        <f t="shared" si="6"/>
        <v>12</v>
      </c>
      <c r="B72" s="71" t="s">
        <v>560</v>
      </c>
      <c r="C72" s="71">
        <v>1</v>
      </c>
      <c r="D72" s="58" t="s">
        <v>545</v>
      </c>
    </row>
    <row r="73" spans="1:4" ht="22.9" customHeight="1" x14ac:dyDescent="0.7">
      <c r="A73" s="66">
        <v>6</v>
      </c>
      <c r="B73" s="66" t="s">
        <v>592</v>
      </c>
      <c r="C73" s="66" t="s">
        <v>25</v>
      </c>
      <c r="D73" s="66" t="s">
        <v>535</v>
      </c>
    </row>
    <row r="74" spans="1:4" x14ac:dyDescent="0.7">
      <c r="A74" s="59">
        <v>1</v>
      </c>
      <c r="B74" s="70" t="s">
        <v>593</v>
      </c>
      <c r="C74" s="70">
        <v>1</v>
      </c>
      <c r="D74" s="59" t="s">
        <v>545</v>
      </c>
    </row>
    <row r="75" spans="1:4" x14ac:dyDescent="0.7">
      <c r="A75" s="59">
        <f t="shared" ref="A75:A84" si="7">+A74+1</f>
        <v>2</v>
      </c>
      <c r="B75" s="70" t="s">
        <v>544</v>
      </c>
      <c r="C75" s="70">
        <v>4</v>
      </c>
      <c r="D75" s="59" t="s">
        <v>545</v>
      </c>
    </row>
    <row r="76" spans="1:4" x14ac:dyDescent="0.7">
      <c r="A76" s="59">
        <f t="shared" si="7"/>
        <v>3</v>
      </c>
      <c r="B76" s="70" t="s">
        <v>543</v>
      </c>
      <c r="C76" s="70">
        <v>2</v>
      </c>
      <c r="D76" s="59" t="s">
        <v>545</v>
      </c>
    </row>
    <row r="77" spans="1:4" x14ac:dyDescent="0.7">
      <c r="A77" s="59">
        <f t="shared" si="7"/>
        <v>4</v>
      </c>
      <c r="B77" s="70" t="s">
        <v>554</v>
      </c>
      <c r="C77" s="70">
        <v>2</v>
      </c>
      <c r="D77" s="59" t="s">
        <v>545</v>
      </c>
    </row>
    <row r="78" spans="1:4" x14ac:dyDescent="0.7">
      <c r="A78" s="59">
        <f t="shared" si="7"/>
        <v>5</v>
      </c>
      <c r="B78" s="70" t="s">
        <v>590</v>
      </c>
      <c r="C78" s="70">
        <v>4</v>
      </c>
      <c r="D78" s="59" t="s">
        <v>545</v>
      </c>
    </row>
    <row r="79" spans="1:4" x14ac:dyDescent="0.7">
      <c r="A79" s="59">
        <f t="shared" si="7"/>
        <v>6</v>
      </c>
      <c r="B79" s="70" t="s">
        <v>549</v>
      </c>
      <c r="C79" s="70">
        <v>4</v>
      </c>
      <c r="D79" s="59" t="s">
        <v>545</v>
      </c>
    </row>
    <row r="80" spans="1:4" x14ac:dyDescent="0.7">
      <c r="A80" s="59">
        <f t="shared" si="7"/>
        <v>7</v>
      </c>
      <c r="B80" s="70" t="s">
        <v>591</v>
      </c>
      <c r="C80" s="70">
        <v>9</v>
      </c>
      <c r="D80" s="59" t="s">
        <v>545</v>
      </c>
    </row>
    <row r="81" spans="1:4" x14ac:dyDescent="0.7">
      <c r="A81" s="59">
        <f t="shared" si="7"/>
        <v>8</v>
      </c>
      <c r="B81" s="70" t="s">
        <v>551</v>
      </c>
      <c r="C81" s="70">
        <v>5</v>
      </c>
      <c r="D81" s="59" t="s">
        <v>545</v>
      </c>
    </row>
    <row r="82" spans="1:4" x14ac:dyDescent="0.7">
      <c r="A82" s="59">
        <f t="shared" si="7"/>
        <v>9</v>
      </c>
      <c r="B82" s="70" t="s">
        <v>569</v>
      </c>
      <c r="C82" s="70">
        <v>1</v>
      </c>
      <c r="D82" s="59" t="s">
        <v>545</v>
      </c>
    </row>
    <row r="83" spans="1:4" x14ac:dyDescent="0.7">
      <c r="A83" s="59">
        <f t="shared" si="7"/>
        <v>10</v>
      </c>
      <c r="B83" s="69" t="s">
        <v>580</v>
      </c>
      <c r="C83" s="70">
        <v>1</v>
      </c>
      <c r="D83" s="59" t="s">
        <v>594</v>
      </c>
    </row>
    <row r="84" spans="1:4" x14ac:dyDescent="0.7">
      <c r="A84" s="59">
        <f t="shared" si="7"/>
        <v>11</v>
      </c>
      <c r="B84" s="69" t="s">
        <v>574</v>
      </c>
      <c r="C84" s="70">
        <v>1</v>
      </c>
      <c r="D84" s="59" t="s">
        <v>570</v>
      </c>
    </row>
    <row r="85" spans="1:4" ht="22.9" customHeight="1" x14ac:dyDescent="0.7">
      <c r="A85" s="66">
        <v>7</v>
      </c>
      <c r="B85" s="66" t="s">
        <v>595</v>
      </c>
      <c r="C85" s="66" t="s">
        <v>25</v>
      </c>
      <c r="D85" s="66" t="s">
        <v>535</v>
      </c>
    </row>
    <row r="86" spans="1:4" x14ac:dyDescent="0.7">
      <c r="A86" s="59">
        <v>1</v>
      </c>
      <c r="B86" s="70" t="s">
        <v>544</v>
      </c>
      <c r="C86" s="70">
        <v>1</v>
      </c>
      <c r="D86" s="59" t="s">
        <v>545</v>
      </c>
    </row>
    <row r="87" spans="1:4" x14ac:dyDescent="0.7">
      <c r="A87" s="59">
        <f>+A86+1</f>
        <v>2</v>
      </c>
      <c r="B87" s="70" t="s">
        <v>551</v>
      </c>
      <c r="C87" s="70">
        <v>1</v>
      </c>
      <c r="D87" s="59" t="s">
        <v>545</v>
      </c>
    </row>
    <row r="88" spans="1:4" x14ac:dyDescent="0.7">
      <c r="A88" s="59">
        <f>+A87+1</f>
        <v>3</v>
      </c>
      <c r="B88" s="70" t="s">
        <v>550</v>
      </c>
      <c r="C88" s="70">
        <v>3</v>
      </c>
      <c r="D88" s="59" t="s">
        <v>545</v>
      </c>
    </row>
    <row r="89" spans="1:4" x14ac:dyDescent="0.7">
      <c r="A89" s="59">
        <f>+A88+1</f>
        <v>4</v>
      </c>
      <c r="B89" s="69" t="s">
        <v>569</v>
      </c>
      <c r="C89" s="70">
        <v>1</v>
      </c>
      <c r="D89" s="59" t="s">
        <v>545</v>
      </c>
    </row>
    <row r="90" spans="1:4" x14ac:dyDescent="0.7">
      <c r="A90" s="59">
        <f>+A89+1</f>
        <v>5</v>
      </c>
      <c r="B90" s="69" t="s">
        <v>596</v>
      </c>
      <c r="C90" s="70">
        <v>1</v>
      </c>
      <c r="D90" s="59" t="s">
        <v>597</v>
      </c>
    </row>
    <row r="91" spans="1:4" x14ac:dyDescent="0.7">
      <c r="A91" s="59">
        <f>+A90+1</f>
        <v>6</v>
      </c>
      <c r="B91" s="69" t="s">
        <v>552</v>
      </c>
      <c r="C91" s="70">
        <v>1</v>
      </c>
      <c r="D91" s="59" t="s">
        <v>598</v>
      </c>
    </row>
    <row r="92" spans="1:4" ht="22.9" customHeight="1" x14ac:dyDescent="0.7">
      <c r="A92" s="66">
        <v>8</v>
      </c>
      <c r="B92" s="66" t="s">
        <v>599</v>
      </c>
      <c r="C92" s="66" t="s">
        <v>25</v>
      </c>
      <c r="D92" s="66" t="s">
        <v>535</v>
      </c>
    </row>
    <row r="93" spans="1:4" x14ac:dyDescent="0.7">
      <c r="A93" s="59">
        <v>1</v>
      </c>
      <c r="B93" s="70" t="s">
        <v>544</v>
      </c>
      <c r="C93" s="70">
        <v>1</v>
      </c>
      <c r="D93" s="59" t="s">
        <v>545</v>
      </c>
    </row>
    <row r="94" spans="1:4" x14ac:dyDescent="0.7">
      <c r="A94" s="59">
        <f>+A93+1</f>
        <v>2</v>
      </c>
      <c r="B94" s="70" t="s">
        <v>551</v>
      </c>
      <c r="C94" s="70">
        <v>1</v>
      </c>
      <c r="D94" s="59" t="s">
        <v>545</v>
      </c>
    </row>
    <row r="95" spans="1:4" x14ac:dyDescent="0.7">
      <c r="A95" s="59">
        <f>+A94+1</f>
        <v>3</v>
      </c>
      <c r="B95" s="70" t="s">
        <v>550</v>
      </c>
      <c r="C95" s="70">
        <v>3</v>
      </c>
      <c r="D95" s="59" t="s">
        <v>545</v>
      </c>
    </row>
    <row r="96" spans="1:4" x14ac:dyDescent="0.7">
      <c r="A96" s="59">
        <f>+A95+1</f>
        <v>4</v>
      </c>
      <c r="B96" s="69" t="s">
        <v>569</v>
      </c>
      <c r="C96" s="70">
        <v>1</v>
      </c>
      <c r="D96" s="59" t="s">
        <v>545</v>
      </c>
    </row>
    <row r="97" spans="1:4" x14ac:dyDescent="0.7">
      <c r="A97" s="59">
        <f>+A96+1</f>
        <v>5</v>
      </c>
      <c r="B97" s="69" t="s">
        <v>596</v>
      </c>
      <c r="C97" s="70">
        <v>1</v>
      </c>
      <c r="D97" s="59" t="s">
        <v>600</v>
      </c>
    </row>
    <row r="98" spans="1:4" x14ac:dyDescent="0.7">
      <c r="A98" s="59">
        <f>+A97+1</f>
        <v>6</v>
      </c>
      <c r="B98" s="69" t="s">
        <v>552</v>
      </c>
      <c r="C98" s="70">
        <v>1</v>
      </c>
      <c r="D98" s="59" t="s">
        <v>598</v>
      </c>
    </row>
    <row r="99" spans="1:4" ht="22.9" customHeight="1" x14ac:dyDescent="0.7">
      <c r="A99" s="66">
        <v>9</v>
      </c>
      <c r="B99" s="66" t="s">
        <v>601</v>
      </c>
      <c r="C99" s="66" t="s">
        <v>25</v>
      </c>
      <c r="D99" s="66" t="s">
        <v>535</v>
      </c>
    </row>
    <row r="100" spans="1:4" x14ac:dyDescent="0.7">
      <c r="A100" s="58">
        <v>1</v>
      </c>
      <c r="B100" s="71" t="s">
        <v>555</v>
      </c>
      <c r="C100" s="71">
        <v>4</v>
      </c>
      <c r="D100" s="58" t="s">
        <v>570</v>
      </c>
    </row>
    <row r="101" spans="1:4" x14ac:dyDescent="0.7">
      <c r="A101" s="58">
        <f>+A100+1</f>
        <v>2</v>
      </c>
      <c r="B101" s="71" t="s">
        <v>576</v>
      </c>
      <c r="C101" s="71">
        <v>4</v>
      </c>
      <c r="D101" s="58" t="s">
        <v>545</v>
      </c>
    </row>
    <row r="102" spans="1:4" x14ac:dyDescent="0.7">
      <c r="A102" s="58">
        <f>+A101+1</f>
        <v>3</v>
      </c>
      <c r="B102" s="71" t="s">
        <v>550</v>
      </c>
      <c r="C102" s="71">
        <v>6</v>
      </c>
      <c r="D102" s="58" t="s">
        <v>545</v>
      </c>
    </row>
    <row r="103" spans="1:4" x14ac:dyDescent="0.7">
      <c r="A103" s="58">
        <f>+A102+1</f>
        <v>4</v>
      </c>
      <c r="B103" s="71" t="s">
        <v>551</v>
      </c>
      <c r="C103" s="71">
        <v>2</v>
      </c>
      <c r="D103" s="58" t="s">
        <v>545</v>
      </c>
    </row>
    <row r="104" spans="1:4" x14ac:dyDescent="0.7">
      <c r="A104" s="58">
        <f>+A103+1</f>
        <v>5</v>
      </c>
      <c r="B104" s="71" t="s">
        <v>560</v>
      </c>
      <c r="C104" s="71">
        <v>4</v>
      </c>
      <c r="D104" s="58" t="s">
        <v>545</v>
      </c>
    </row>
  </sheetData>
  <mergeCells count="2">
    <mergeCell ref="A1:D1"/>
    <mergeCell ref="H2:L2"/>
  </mergeCells>
  <pageMargins left="0.7" right="0.7" top="0.75" bottom="0.75" header="0.3" footer="0.3"/>
  <pageSetup paperSize="9" scale="74" orientation="portrait" r:id="rId1"/>
  <colBreaks count="1" manualBreakCount="1">
    <brk id="4" max="10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D465-75BE-4FC5-A0E9-038A72D6F302}">
  <dimension ref="A1:K223"/>
  <sheetViews>
    <sheetView view="pageBreakPreview" topLeftCell="B228" zoomScale="115" zoomScaleNormal="100" zoomScaleSheetLayoutView="115" workbookViewId="0">
      <selection activeCell="J207" sqref="J207"/>
    </sheetView>
  </sheetViews>
  <sheetFormatPr defaultColWidth="8.7265625" defaultRowHeight="17" x14ac:dyDescent="0.7"/>
  <cols>
    <col min="1" max="1" width="8.7265625" style="74" customWidth="1"/>
    <col min="2" max="2" width="48.81640625" style="74" customWidth="1"/>
    <col min="3" max="3" width="8.7265625" style="74"/>
    <col min="4" max="4" width="19.7265625" style="74" customWidth="1"/>
    <col min="5" max="7" width="8.7265625" style="74"/>
    <col min="8" max="8" width="24.81640625" style="74" customWidth="1"/>
    <col min="9" max="9" width="8.7265625" style="74"/>
    <col min="10" max="10" width="11.7265625" style="74" customWidth="1"/>
    <col min="11" max="11" width="12.1796875" style="74" bestFit="1" customWidth="1"/>
    <col min="12" max="16384" width="8.7265625" style="74"/>
  </cols>
  <sheetData>
    <row r="1" spans="1:11" x14ac:dyDescent="0.7">
      <c r="G1" s="409" t="s">
        <v>471</v>
      </c>
      <c r="H1" s="409"/>
      <c r="I1" s="409"/>
      <c r="J1" s="409"/>
      <c r="K1" s="409"/>
    </row>
    <row r="2" spans="1:11" s="67" customFormat="1" x14ac:dyDescent="0.7">
      <c r="A2" s="66">
        <v>1</v>
      </c>
      <c r="B2" s="66" t="s">
        <v>602</v>
      </c>
      <c r="C2" s="66" t="s">
        <v>25</v>
      </c>
      <c r="D2" s="66" t="s">
        <v>535</v>
      </c>
      <c r="G2" s="68" t="s">
        <v>533</v>
      </c>
      <c r="H2" s="68" t="s">
        <v>538</v>
      </c>
      <c r="I2" s="68" t="s">
        <v>161</v>
      </c>
      <c r="J2" s="68" t="s">
        <v>539</v>
      </c>
      <c r="K2" s="68" t="s">
        <v>540</v>
      </c>
    </row>
    <row r="3" spans="1:11" s="67" customFormat="1" x14ac:dyDescent="0.7">
      <c r="A3" s="58">
        <v>1</v>
      </c>
      <c r="B3" s="69" t="s">
        <v>569</v>
      </c>
      <c r="C3" s="70">
        <v>1</v>
      </c>
      <c r="D3" s="59" t="s">
        <v>570</v>
      </c>
      <c r="G3" s="58">
        <v>1</v>
      </c>
      <c r="H3" s="58" t="s">
        <v>543</v>
      </c>
      <c r="I3" s="58" t="s">
        <v>25</v>
      </c>
      <c r="J3" s="58">
        <v>20</v>
      </c>
      <c r="K3" s="58">
        <f>J3*50%</f>
        <v>10</v>
      </c>
    </row>
    <row r="4" spans="1:11" s="67" customFormat="1" x14ac:dyDescent="0.7">
      <c r="A4" s="58">
        <f t="shared" ref="A4:A18" si="0">+A3+1</f>
        <v>2</v>
      </c>
      <c r="B4" s="69" t="s">
        <v>571</v>
      </c>
      <c r="C4" s="70" t="s">
        <v>572</v>
      </c>
      <c r="D4" s="59" t="s">
        <v>603</v>
      </c>
      <c r="G4" s="58">
        <f t="shared" ref="G4:G27" si="1">+G3+1</f>
        <v>2</v>
      </c>
      <c r="H4" s="58" t="s">
        <v>546</v>
      </c>
      <c r="I4" s="58" t="s">
        <v>25</v>
      </c>
      <c r="J4" s="58">
        <v>0</v>
      </c>
      <c r="K4" s="58"/>
    </row>
    <row r="5" spans="1:11" s="67" customFormat="1" x14ac:dyDescent="0.7">
      <c r="A5" s="58">
        <f t="shared" si="0"/>
        <v>3</v>
      </c>
      <c r="B5" s="69" t="s">
        <v>574</v>
      </c>
      <c r="C5" s="70">
        <v>1</v>
      </c>
      <c r="D5" s="59" t="s">
        <v>570</v>
      </c>
      <c r="G5" s="58">
        <f t="shared" si="1"/>
        <v>3</v>
      </c>
      <c r="H5" s="58" t="s">
        <v>548</v>
      </c>
      <c r="I5" s="58" t="s">
        <v>25</v>
      </c>
      <c r="J5" s="58">
        <v>5</v>
      </c>
      <c r="K5" s="58">
        <f>J5*100%</f>
        <v>5</v>
      </c>
    </row>
    <row r="6" spans="1:11" s="67" customFormat="1" x14ac:dyDescent="0.7">
      <c r="A6" s="58">
        <f t="shared" si="0"/>
        <v>4</v>
      </c>
      <c r="B6" s="71" t="s">
        <v>544</v>
      </c>
      <c r="C6" s="71">
        <v>2</v>
      </c>
      <c r="D6" s="58" t="s">
        <v>545</v>
      </c>
      <c r="G6" s="58">
        <f t="shared" si="1"/>
        <v>4</v>
      </c>
      <c r="H6" s="58" t="s">
        <v>541</v>
      </c>
      <c r="I6" s="58" t="s">
        <v>25</v>
      </c>
      <c r="J6" s="58">
        <v>15</v>
      </c>
      <c r="K6" s="58">
        <f t="shared" ref="K6:K12" si="2">ROUND(J6*70%,0)</f>
        <v>11</v>
      </c>
    </row>
    <row r="7" spans="1:11" s="67" customFormat="1" x14ac:dyDescent="0.7">
      <c r="A7" s="58">
        <f t="shared" si="0"/>
        <v>5</v>
      </c>
      <c r="B7" s="71" t="s">
        <v>544</v>
      </c>
      <c r="C7" s="71">
        <v>2</v>
      </c>
      <c r="D7" s="58" t="s">
        <v>604</v>
      </c>
      <c r="G7" s="58">
        <f t="shared" si="1"/>
        <v>5</v>
      </c>
      <c r="H7" s="58" t="s">
        <v>544</v>
      </c>
      <c r="I7" s="58" t="s">
        <v>25</v>
      </c>
      <c r="J7" s="58">
        <v>36</v>
      </c>
      <c r="K7" s="58">
        <f t="shared" si="2"/>
        <v>25</v>
      </c>
    </row>
    <row r="8" spans="1:11" s="67" customFormat="1" x14ac:dyDescent="0.7">
      <c r="A8" s="58">
        <f t="shared" si="0"/>
        <v>6</v>
      </c>
      <c r="B8" s="71" t="s">
        <v>580</v>
      </c>
      <c r="C8" s="71" t="s">
        <v>572</v>
      </c>
      <c r="D8" s="58" t="s">
        <v>605</v>
      </c>
      <c r="G8" s="58">
        <f t="shared" si="1"/>
        <v>6</v>
      </c>
      <c r="H8" s="58" t="s">
        <v>576</v>
      </c>
      <c r="I8" s="58" t="s">
        <v>25</v>
      </c>
      <c r="J8" s="58">
        <v>10</v>
      </c>
      <c r="K8" s="58">
        <f t="shared" si="2"/>
        <v>7</v>
      </c>
    </row>
    <row r="9" spans="1:11" s="67" customFormat="1" x14ac:dyDescent="0.7">
      <c r="A9" s="58">
        <f t="shared" si="0"/>
        <v>7</v>
      </c>
      <c r="B9" s="71" t="s">
        <v>541</v>
      </c>
      <c r="C9" s="71">
        <v>1</v>
      </c>
      <c r="D9" s="58" t="s">
        <v>545</v>
      </c>
      <c r="G9" s="58">
        <f t="shared" si="1"/>
        <v>7</v>
      </c>
      <c r="H9" s="58" t="s">
        <v>547</v>
      </c>
      <c r="I9" s="58" t="s">
        <v>25</v>
      </c>
      <c r="J9" s="58">
        <v>36</v>
      </c>
      <c r="K9" s="58">
        <f t="shared" si="2"/>
        <v>25</v>
      </c>
    </row>
    <row r="10" spans="1:11" s="67" customFormat="1" x14ac:dyDescent="0.7">
      <c r="A10" s="58">
        <f t="shared" si="0"/>
        <v>8</v>
      </c>
      <c r="B10" s="71" t="s">
        <v>547</v>
      </c>
      <c r="C10" s="71">
        <v>4</v>
      </c>
      <c r="D10" s="58" t="s">
        <v>545</v>
      </c>
      <c r="G10" s="58">
        <f t="shared" si="1"/>
        <v>8</v>
      </c>
      <c r="H10" s="58" t="s">
        <v>549</v>
      </c>
      <c r="I10" s="58" t="s">
        <v>25</v>
      </c>
      <c r="J10" s="58">
        <v>41</v>
      </c>
      <c r="K10" s="58">
        <f t="shared" si="2"/>
        <v>29</v>
      </c>
    </row>
    <row r="11" spans="1:11" s="67" customFormat="1" x14ac:dyDescent="0.7">
      <c r="A11" s="58">
        <f t="shared" si="0"/>
        <v>9</v>
      </c>
      <c r="B11" s="71" t="s">
        <v>549</v>
      </c>
      <c r="C11" s="71">
        <v>4</v>
      </c>
      <c r="D11" s="58" t="s">
        <v>545</v>
      </c>
      <c r="G11" s="58">
        <f t="shared" si="1"/>
        <v>9</v>
      </c>
      <c r="H11" s="58" t="s">
        <v>550</v>
      </c>
      <c r="I11" s="58" t="s">
        <v>25</v>
      </c>
      <c r="J11" s="58">
        <v>176</v>
      </c>
      <c r="K11" s="58">
        <f t="shared" si="2"/>
        <v>123</v>
      </c>
    </row>
    <row r="12" spans="1:11" s="67" customFormat="1" x14ac:dyDescent="0.7">
      <c r="A12" s="58">
        <f t="shared" si="0"/>
        <v>10</v>
      </c>
      <c r="B12" s="71" t="s">
        <v>550</v>
      </c>
      <c r="C12" s="71">
        <v>8</v>
      </c>
      <c r="D12" s="58" t="s">
        <v>545</v>
      </c>
      <c r="G12" s="58">
        <f t="shared" si="1"/>
        <v>10</v>
      </c>
      <c r="H12" s="58" t="s">
        <v>551</v>
      </c>
      <c r="I12" s="58" t="s">
        <v>25</v>
      </c>
      <c r="J12" s="58">
        <v>57</v>
      </c>
      <c r="K12" s="58">
        <f t="shared" si="2"/>
        <v>40</v>
      </c>
    </row>
    <row r="13" spans="1:11" s="67" customFormat="1" x14ac:dyDescent="0.7">
      <c r="A13" s="58">
        <f t="shared" si="0"/>
        <v>11</v>
      </c>
      <c r="B13" s="71" t="s">
        <v>551</v>
      </c>
      <c r="C13" s="71">
        <v>5</v>
      </c>
      <c r="D13" s="58" t="s">
        <v>545</v>
      </c>
      <c r="G13" s="58">
        <f t="shared" si="1"/>
        <v>11</v>
      </c>
      <c r="H13" s="58" t="s">
        <v>552</v>
      </c>
      <c r="I13" s="58" t="s">
        <v>25</v>
      </c>
      <c r="J13" s="58">
        <v>9</v>
      </c>
      <c r="K13" s="58">
        <f>J13*100%</f>
        <v>9</v>
      </c>
    </row>
    <row r="14" spans="1:11" s="67" customFormat="1" x14ac:dyDescent="0.7">
      <c r="A14" s="58">
        <f t="shared" si="0"/>
        <v>12</v>
      </c>
      <c r="B14" s="71" t="s">
        <v>554</v>
      </c>
      <c r="C14" s="71">
        <v>1</v>
      </c>
      <c r="D14" s="58" t="s">
        <v>545</v>
      </c>
      <c r="G14" s="58">
        <f t="shared" si="1"/>
        <v>12</v>
      </c>
      <c r="H14" s="58" t="s">
        <v>554</v>
      </c>
      <c r="I14" s="58" t="s">
        <v>25</v>
      </c>
      <c r="J14" s="58">
        <v>16</v>
      </c>
      <c r="K14" s="58">
        <f>J14*100%</f>
        <v>16</v>
      </c>
    </row>
    <row r="15" spans="1:11" s="67" customFormat="1" x14ac:dyDescent="0.7">
      <c r="A15" s="58">
        <f t="shared" si="0"/>
        <v>13</v>
      </c>
      <c r="B15" s="71" t="s">
        <v>560</v>
      </c>
      <c r="C15" s="71">
        <v>1</v>
      </c>
      <c r="D15" s="58" t="s">
        <v>545</v>
      </c>
      <c r="G15" s="58">
        <f t="shared" si="1"/>
        <v>13</v>
      </c>
      <c r="H15" s="58" t="s">
        <v>555</v>
      </c>
      <c r="I15" s="58" t="s">
        <v>25</v>
      </c>
      <c r="J15" s="58">
        <v>41</v>
      </c>
      <c r="K15" s="58">
        <f>J15*100%</f>
        <v>41</v>
      </c>
    </row>
    <row r="16" spans="1:11" s="67" customFormat="1" x14ac:dyDescent="0.7">
      <c r="A16" s="58">
        <f t="shared" si="0"/>
        <v>14</v>
      </c>
      <c r="B16" s="71" t="s">
        <v>543</v>
      </c>
      <c r="C16" s="71">
        <v>1</v>
      </c>
      <c r="D16" s="58" t="s">
        <v>545</v>
      </c>
      <c r="G16" s="58">
        <f t="shared" si="1"/>
        <v>14</v>
      </c>
      <c r="H16" s="58" t="s">
        <v>560</v>
      </c>
      <c r="I16" s="58" t="s">
        <v>25</v>
      </c>
      <c r="J16" s="58">
        <v>21</v>
      </c>
      <c r="K16" s="58">
        <f>ROUND(J16*70%,0)</f>
        <v>15</v>
      </c>
    </row>
    <row r="17" spans="1:11" s="67" customFormat="1" x14ac:dyDescent="0.7">
      <c r="A17" s="58">
        <f t="shared" si="0"/>
        <v>15</v>
      </c>
      <c r="B17" s="71" t="s">
        <v>555</v>
      </c>
      <c r="C17" s="71">
        <v>2</v>
      </c>
      <c r="D17" s="58" t="s">
        <v>545</v>
      </c>
      <c r="G17" s="58">
        <f t="shared" si="1"/>
        <v>15</v>
      </c>
      <c r="H17" s="58" t="s">
        <v>561</v>
      </c>
      <c r="I17" s="58" t="s">
        <v>562</v>
      </c>
      <c r="J17" s="58">
        <f>10+7+7+12+9+13+11</f>
        <v>69</v>
      </c>
      <c r="K17" s="58">
        <f>J17*100%</f>
        <v>69</v>
      </c>
    </row>
    <row r="18" spans="1:11" s="67" customFormat="1" x14ac:dyDescent="0.7">
      <c r="A18" s="58">
        <f t="shared" si="0"/>
        <v>16</v>
      </c>
      <c r="B18" s="69" t="s">
        <v>606</v>
      </c>
      <c r="C18" s="70">
        <v>2</v>
      </c>
      <c r="D18" s="59"/>
      <c r="G18" s="58">
        <f t="shared" si="1"/>
        <v>16</v>
      </c>
      <c r="H18" s="63" t="s">
        <v>606</v>
      </c>
      <c r="I18" s="67" t="s">
        <v>25</v>
      </c>
      <c r="J18" s="67">
        <f>C18+C63</f>
        <v>4</v>
      </c>
      <c r="K18" s="67">
        <f>J18*100%</f>
        <v>4</v>
      </c>
    </row>
    <row r="19" spans="1:11" s="67" customFormat="1" x14ac:dyDescent="0.7">
      <c r="A19" s="58">
        <f>+A17+1</f>
        <v>16</v>
      </c>
      <c r="B19" s="71" t="s">
        <v>607</v>
      </c>
      <c r="C19" s="71">
        <v>4</v>
      </c>
      <c r="D19" s="58"/>
      <c r="G19" s="58">
        <f t="shared" si="1"/>
        <v>17</v>
      </c>
      <c r="H19" s="58" t="s">
        <v>564</v>
      </c>
      <c r="I19" s="58" t="s">
        <v>25</v>
      </c>
      <c r="J19" s="58">
        <v>6</v>
      </c>
      <c r="K19" s="58">
        <f>J19*100%</f>
        <v>6</v>
      </c>
    </row>
    <row r="20" spans="1:11" s="67" customFormat="1" ht="22.9" customHeight="1" x14ac:dyDescent="0.7">
      <c r="A20" s="66">
        <v>2</v>
      </c>
      <c r="B20" s="66" t="s">
        <v>608</v>
      </c>
      <c r="C20" s="66" t="s">
        <v>25</v>
      </c>
      <c r="D20" s="66" t="s">
        <v>535</v>
      </c>
      <c r="G20" s="58">
        <f t="shared" si="1"/>
        <v>18</v>
      </c>
      <c r="H20" s="58" t="s">
        <v>609</v>
      </c>
      <c r="I20" s="58" t="s">
        <v>25</v>
      </c>
      <c r="J20" s="58">
        <v>12</v>
      </c>
      <c r="K20" s="58">
        <f>ROUND(J20*70%,0)</f>
        <v>8</v>
      </c>
    </row>
    <row r="21" spans="1:11" s="67" customFormat="1" x14ac:dyDescent="0.7">
      <c r="A21" s="58">
        <v>1</v>
      </c>
      <c r="B21" s="71" t="s">
        <v>541</v>
      </c>
      <c r="C21" s="71">
        <v>1</v>
      </c>
      <c r="D21" s="58" t="s">
        <v>545</v>
      </c>
      <c r="G21" s="59">
        <f t="shared" si="1"/>
        <v>19</v>
      </c>
      <c r="H21" s="59" t="s">
        <v>610</v>
      </c>
      <c r="I21" s="58" t="s">
        <v>25</v>
      </c>
      <c r="J21" s="59">
        <v>2</v>
      </c>
      <c r="K21" s="58">
        <f>J21*100%</f>
        <v>2</v>
      </c>
    </row>
    <row r="22" spans="1:11" s="67" customFormat="1" x14ac:dyDescent="0.7">
      <c r="A22" s="58">
        <f t="shared" ref="A22:A33" si="3">+A21+1</f>
        <v>2</v>
      </c>
      <c r="B22" s="71" t="s">
        <v>544</v>
      </c>
      <c r="C22" s="71">
        <v>4</v>
      </c>
      <c r="D22" s="58" t="s">
        <v>545</v>
      </c>
      <c r="G22" s="59">
        <f t="shared" si="1"/>
        <v>20</v>
      </c>
      <c r="H22" s="58" t="s">
        <v>611</v>
      </c>
      <c r="I22" s="58" t="s">
        <v>25</v>
      </c>
      <c r="J22" s="58">
        <v>2</v>
      </c>
      <c r="K22" s="58">
        <f>J22*100%</f>
        <v>2</v>
      </c>
    </row>
    <row r="23" spans="1:11" s="67" customFormat="1" x14ac:dyDescent="0.7">
      <c r="A23" s="58">
        <f t="shared" si="3"/>
        <v>3</v>
      </c>
      <c r="B23" s="72" t="s">
        <v>580</v>
      </c>
      <c r="C23" s="71" t="s">
        <v>572</v>
      </c>
      <c r="D23" s="58" t="s">
        <v>612</v>
      </c>
      <c r="G23" s="59">
        <f t="shared" si="1"/>
        <v>21</v>
      </c>
      <c r="H23" s="58" t="s">
        <v>613</v>
      </c>
      <c r="I23" s="58" t="s">
        <v>25</v>
      </c>
      <c r="J23" s="58">
        <v>5</v>
      </c>
      <c r="K23" s="58">
        <f>J23*100%</f>
        <v>5</v>
      </c>
    </row>
    <row r="24" spans="1:11" s="67" customFormat="1" x14ac:dyDescent="0.7">
      <c r="A24" s="58">
        <f t="shared" si="3"/>
        <v>4</v>
      </c>
      <c r="B24" s="71" t="s">
        <v>543</v>
      </c>
      <c r="C24" s="71">
        <v>1</v>
      </c>
      <c r="D24" s="58" t="s">
        <v>545</v>
      </c>
      <c r="G24" s="59">
        <f t="shared" si="1"/>
        <v>22</v>
      </c>
      <c r="H24" s="58" t="s">
        <v>195</v>
      </c>
      <c r="I24" s="58" t="s">
        <v>25</v>
      </c>
      <c r="J24" s="58">
        <v>12</v>
      </c>
      <c r="K24" s="58">
        <f>J24*100%</f>
        <v>12</v>
      </c>
    </row>
    <row r="25" spans="1:11" s="67" customFormat="1" x14ac:dyDescent="0.7">
      <c r="A25" s="58">
        <f t="shared" si="3"/>
        <v>5</v>
      </c>
      <c r="B25" s="71" t="s">
        <v>554</v>
      </c>
      <c r="C25" s="71">
        <v>1</v>
      </c>
      <c r="D25" s="58" t="s">
        <v>545</v>
      </c>
      <c r="G25" s="59">
        <f t="shared" si="1"/>
        <v>23</v>
      </c>
      <c r="H25" s="58" t="s">
        <v>614</v>
      </c>
      <c r="I25" s="58" t="s">
        <v>25</v>
      </c>
      <c r="J25" s="58">
        <v>0</v>
      </c>
      <c r="K25" s="58">
        <v>0</v>
      </c>
    </row>
    <row r="26" spans="1:11" s="67" customFormat="1" x14ac:dyDescent="0.7">
      <c r="A26" s="58">
        <f t="shared" si="3"/>
        <v>6</v>
      </c>
      <c r="B26" s="71" t="s">
        <v>555</v>
      </c>
      <c r="C26" s="71">
        <v>2</v>
      </c>
      <c r="D26" s="58" t="s">
        <v>545</v>
      </c>
      <c r="G26" s="59">
        <f t="shared" si="1"/>
        <v>24</v>
      </c>
      <c r="H26" s="58" t="s">
        <v>615</v>
      </c>
      <c r="I26" s="58" t="s">
        <v>25</v>
      </c>
      <c r="J26" s="58">
        <v>19</v>
      </c>
      <c r="K26" s="58">
        <f>J26*100%</f>
        <v>19</v>
      </c>
    </row>
    <row r="27" spans="1:11" s="67" customFormat="1" x14ac:dyDescent="0.7">
      <c r="A27" s="58">
        <f t="shared" si="3"/>
        <v>7</v>
      </c>
      <c r="B27" s="71" t="s">
        <v>590</v>
      </c>
      <c r="C27" s="71">
        <v>4</v>
      </c>
      <c r="D27" s="58" t="s">
        <v>545</v>
      </c>
      <c r="G27" s="59">
        <f t="shared" si="1"/>
        <v>25</v>
      </c>
      <c r="H27" s="58" t="s">
        <v>616</v>
      </c>
      <c r="I27" s="58" t="s">
        <v>25</v>
      </c>
      <c r="J27" s="58">
        <f>C19+C222</f>
        <v>20</v>
      </c>
      <c r="K27" s="58">
        <f>J27*100%</f>
        <v>20</v>
      </c>
    </row>
    <row r="28" spans="1:11" s="67" customFormat="1" x14ac:dyDescent="0.7">
      <c r="A28" s="58">
        <f t="shared" si="3"/>
        <v>8</v>
      </c>
      <c r="B28" s="71" t="s">
        <v>549</v>
      </c>
      <c r="C28" s="71">
        <v>4</v>
      </c>
      <c r="D28" s="58" t="s">
        <v>545</v>
      </c>
    </row>
    <row r="29" spans="1:11" s="67" customFormat="1" x14ac:dyDescent="0.7">
      <c r="A29" s="58">
        <f t="shared" si="3"/>
        <v>9</v>
      </c>
      <c r="B29" s="71" t="s">
        <v>591</v>
      </c>
      <c r="C29" s="71">
        <v>8</v>
      </c>
      <c r="D29" s="58" t="s">
        <v>545</v>
      </c>
    </row>
    <row r="30" spans="1:11" s="67" customFormat="1" x14ac:dyDescent="0.7">
      <c r="A30" s="58">
        <f t="shared" si="3"/>
        <v>10</v>
      </c>
      <c r="B30" s="71" t="s">
        <v>551</v>
      </c>
      <c r="C30" s="71">
        <v>6</v>
      </c>
      <c r="D30" s="58" t="s">
        <v>545</v>
      </c>
    </row>
    <row r="31" spans="1:11" s="67" customFormat="1" x14ac:dyDescent="0.7">
      <c r="A31" s="58">
        <f t="shared" si="3"/>
        <v>11</v>
      </c>
      <c r="B31" s="71" t="s">
        <v>617</v>
      </c>
      <c r="C31" s="71">
        <v>2</v>
      </c>
      <c r="D31" s="58" t="s">
        <v>545</v>
      </c>
    </row>
    <row r="32" spans="1:11" s="67" customFormat="1" x14ac:dyDescent="0.7">
      <c r="A32" s="58">
        <f t="shared" si="3"/>
        <v>12</v>
      </c>
      <c r="B32" s="71" t="s">
        <v>613</v>
      </c>
      <c r="C32" s="71">
        <v>5</v>
      </c>
      <c r="D32" s="58" t="s">
        <v>570</v>
      </c>
    </row>
    <row r="33" spans="1:4" s="67" customFormat="1" x14ac:dyDescent="0.7">
      <c r="A33" s="58">
        <f t="shared" si="3"/>
        <v>13</v>
      </c>
      <c r="B33" s="71" t="s">
        <v>609</v>
      </c>
      <c r="C33" s="71">
        <v>3</v>
      </c>
      <c r="D33" s="58" t="s">
        <v>570</v>
      </c>
    </row>
    <row r="34" spans="1:4" s="67" customFormat="1" ht="22.9" customHeight="1" x14ac:dyDescent="0.7">
      <c r="A34" s="66">
        <v>3</v>
      </c>
      <c r="B34" s="66" t="s">
        <v>618</v>
      </c>
      <c r="C34" s="66" t="s">
        <v>25</v>
      </c>
      <c r="D34" s="66" t="s">
        <v>535</v>
      </c>
    </row>
    <row r="35" spans="1:4" s="67" customFormat="1" x14ac:dyDescent="0.7">
      <c r="A35" s="58">
        <v>1</v>
      </c>
      <c r="B35" s="71" t="s">
        <v>569</v>
      </c>
      <c r="C35" s="71">
        <v>1</v>
      </c>
      <c r="D35" s="59" t="s">
        <v>570</v>
      </c>
    </row>
    <row r="36" spans="1:4" s="67" customFormat="1" x14ac:dyDescent="0.7">
      <c r="A36" s="58">
        <f>+A35+1</f>
        <v>2</v>
      </c>
      <c r="B36" s="69" t="s">
        <v>580</v>
      </c>
      <c r="C36" s="70" t="s">
        <v>572</v>
      </c>
      <c r="D36" s="59" t="s">
        <v>619</v>
      </c>
    </row>
    <row r="37" spans="1:4" s="67" customFormat="1" x14ac:dyDescent="0.7">
      <c r="A37" s="58">
        <f>+A36+1</f>
        <v>3</v>
      </c>
      <c r="B37" s="69" t="s">
        <v>552</v>
      </c>
      <c r="C37" s="70">
        <v>1</v>
      </c>
      <c r="D37" s="59" t="s">
        <v>570</v>
      </c>
    </row>
    <row r="38" spans="1:4" s="67" customFormat="1" x14ac:dyDescent="0.7">
      <c r="A38" s="58">
        <f>A35+1</f>
        <v>2</v>
      </c>
      <c r="B38" s="71" t="s">
        <v>548</v>
      </c>
      <c r="C38" s="71">
        <v>1</v>
      </c>
      <c r="D38" s="58" t="s">
        <v>545</v>
      </c>
    </row>
    <row r="39" spans="1:4" s="67" customFormat="1" x14ac:dyDescent="0.7">
      <c r="A39" s="58">
        <f t="shared" ref="A39:A47" si="4">A38+1</f>
        <v>3</v>
      </c>
      <c r="B39" s="71" t="s">
        <v>544</v>
      </c>
      <c r="C39" s="71">
        <v>2</v>
      </c>
      <c r="D39" s="58" t="s">
        <v>545</v>
      </c>
    </row>
    <row r="40" spans="1:4" s="67" customFormat="1" x14ac:dyDescent="0.7">
      <c r="A40" s="58">
        <f t="shared" si="4"/>
        <v>4</v>
      </c>
      <c r="B40" s="71" t="s">
        <v>543</v>
      </c>
      <c r="C40" s="71">
        <v>1</v>
      </c>
      <c r="D40" s="58" t="s">
        <v>545</v>
      </c>
    </row>
    <row r="41" spans="1:4" s="67" customFormat="1" x14ac:dyDescent="0.7">
      <c r="A41" s="58">
        <f t="shared" si="4"/>
        <v>5</v>
      </c>
      <c r="B41" s="71" t="s">
        <v>550</v>
      </c>
      <c r="C41" s="71">
        <v>7</v>
      </c>
      <c r="D41" s="58" t="s">
        <v>545</v>
      </c>
    </row>
    <row r="42" spans="1:4" s="67" customFormat="1" x14ac:dyDescent="0.7">
      <c r="A42" s="58">
        <f t="shared" si="4"/>
        <v>6</v>
      </c>
      <c r="B42" s="71" t="s">
        <v>551</v>
      </c>
      <c r="C42" s="71">
        <v>4</v>
      </c>
      <c r="D42" s="58" t="s">
        <v>545</v>
      </c>
    </row>
    <row r="43" spans="1:4" s="67" customFormat="1" x14ac:dyDescent="0.7">
      <c r="A43" s="58">
        <f t="shared" si="4"/>
        <v>7</v>
      </c>
      <c r="B43" s="71" t="s">
        <v>549</v>
      </c>
      <c r="C43" s="71">
        <v>2</v>
      </c>
      <c r="D43" s="58" t="s">
        <v>545</v>
      </c>
    </row>
    <row r="44" spans="1:4" s="67" customFormat="1" x14ac:dyDescent="0.7">
      <c r="A44" s="58">
        <f t="shared" si="4"/>
        <v>8</v>
      </c>
      <c r="B44" s="71" t="s">
        <v>547</v>
      </c>
      <c r="C44" s="71">
        <v>2</v>
      </c>
      <c r="D44" s="58" t="s">
        <v>545</v>
      </c>
    </row>
    <row r="45" spans="1:4" s="67" customFormat="1" x14ac:dyDescent="0.7">
      <c r="A45" s="58">
        <f t="shared" si="4"/>
        <v>9</v>
      </c>
      <c r="B45" s="71" t="s">
        <v>560</v>
      </c>
      <c r="C45" s="71">
        <v>2</v>
      </c>
      <c r="D45" s="58" t="s">
        <v>545</v>
      </c>
    </row>
    <row r="46" spans="1:4" s="67" customFormat="1" x14ac:dyDescent="0.7">
      <c r="A46" s="58">
        <f t="shared" si="4"/>
        <v>10</v>
      </c>
      <c r="B46" s="71" t="s">
        <v>555</v>
      </c>
      <c r="C46" s="71">
        <v>2</v>
      </c>
      <c r="D46" s="58" t="s">
        <v>545</v>
      </c>
    </row>
    <row r="47" spans="1:4" s="67" customFormat="1" x14ac:dyDescent="0.7">
      <c r="A47" s="58">
        <f t="shared" si="4"/>
        <v>11</v>
      </c>
      <c r="B47" s="71" t="s">
        <v>554</v>
      </c>
      <c r="C47" s="71">
        <v>1</v>
      </c>
      <c r="D47" s="58" t="s">
        <v>545</v>
      </c>
    </row>
    <row r="48" spans="1:4" s="67" customFormat="1" x14ac:dyDescent="0.7">
      <c r="A48" s="66">
        <v>4</v>
      </c>
      <c r="B48" s="66" t="s">
        <v>620</v>
      </c>
      <c r="C48" s="66" t="s">
        <v>25</v>
      </c>
      <c r="D48" s="66" t="s">
        <v>535</v>
      </c>
    </row>
    <row r="49" spans="1:4" s="67" customFormat="1" x14ac:dyDescent="0.7">
      <c r="A49" s="58">
        <v>1</v>
      </c>
      <c r="B49" s="71" t="s">
        <v>548</v>
      </c>
      <c r="C49" s="71">
        <v>1</v>
      </c>
      <c r="D49" s="58" t="s">
        <v>545</v>
      </c>
    </row>
    <row r="50" spans="1:4" s="67" customFormat="1" x14ac:dyDescent="0.7">
      <c r="A50" s="58">
        <f t="shared" ref="A50:A63" si="5">+A49+1</f>
        <v>2</v>
      </c>
      <c r="B50" s="71" t="s">
        <v>544</v>
      </c>
      <c r="C50" s="71">
        <v>6</v>
      </c>
      <c r="D50" s="58" t="s">
        <v>545</v>
      </c>
    </row>
    <row r="51" spans="1:4" s="67" customFormat="1" x14ac:dyDescent="0.7">
      <c r="A51" s="58">
        <f t="shared" si="5"/>
        <v>3</v>
      </c>
      <c r="B51" s="71" t="s">
        <v>541</v>
      </c>
      <c r="C51" s="71">
        <v>1</v>
      </c>
      <c r="D51" s="58" t="s">
        <v>545</v>
      </c>
    </row>
    <row r="52" spans="1:4" s="67" customFormat="1" x14ac:dyDescent="0.7">
      <c r="A52" s="58">
        <f t="shared" si="5"/>
        <v>4</v>
      </c>
      <c r="B52" s="71" t="s">
        <v>547</v>
      </c>
      <c r="C52" s="71">
        <v>6</v>
      </c>
      <c r="D52" s="58" t="s">
        <v>545</v>
      </c>
    </row>
    <row r="53" spans="1:4" s="67" customFormat="1" x14ac:dyDescent="0.7">
      <c r="A53" s="58">
        <f t="shared" si="5"/>
        <v>5</v>
      </c>
      <c r="B53" s="71" t="s">
        <v>549</v>
      </c>
      <c r="C53" s="71">
        <v>6</v>
      </c>
      <c r="D53" s="58" t="s">
        <v>545</v>
      </c>
    </row>
    <row r="54" spans="1:4" s="67" customFormat="1" x14ac:dyDescent="0.7">
      <c r="A54" s="58">
        <f t="shared" si="5"/>
        <v>6</v>
      </c>
      <c r="B54" s="71" t="s">
        <v>550</v>
      </c>
      <c r="C54" s="71">
        <v>16</v>
      </c>
      <c r="D54" s="58" t="s">
        <v>545</v>
      </c>
    </row>
    <row r="55" spans="1:4" s="67" customFormat="1" x14ac:dyDescent="0.7">
      <c r="A55" s="58">
        <f t="shared" si="5"/>
        <v>7</v>
      </c>
      <c r="B55" s="71" t="s">
        <v>551</v>
      </c>
      <c r="C55" s="71">
        <v>8</v>
      </c>
      <c r="D55" s="58" t="s">
        <v>545</v>
      </c>
    </row>
    <row r="56" spans="1:4" s="67" customFormat="1" x14ac:dyDescent="0.7">
      <c r="A56" s="58">
        <f t="shared" si="5"/>
        <v>8</v>
      </c>
      <c r="B56" s="71" t="s">
        <v>543</v>
      </c>
      <c r="C56" s="71">
        <v>2</v>
      </c>
      <c r="D56" s="58" t="s">
        <v>570</v>
      </c>
    </row>
    <row r="57" spans="1:4" s="67" customFormat="1" x14ac:dyDescent="0.7">
      <c r="A57" s="58">
        <f t="shared" si="5"/>
        <v>9</v>
      </c>
      <c r="B57" s="71" t="s">
        <v>554</v>
      </c>
      <c r="C57" s="71">
        <v>2</v>
      </c>
      <c r="D57" s="58" t="s">
        <v>545</v>
      </c>
    </row>
    <row r="58" spans="1:4" s="67" customFormat="1" x14ac:dyDescent="0.7">
      <c r="A58" s="58">
        <f t="shared" si="5"/>
        <v>10</v>
      </c>
      <c r="B58" s="71" t="s">
        <v>555</v>
      </c>
      <c r="C58" s="71">
        <v>5</v>
      </c>
      <c r="D58" s="58" t="s">
        <v>570</v>
      </c>
    </row>
    <row r="59" spans="1:4" s="67" customFormat="1" x14ac:dyDescent="0.7">
      <c r="A59" s="58">
        <f t="shared" si="5"/>
        <v>11</v>
      </c>
      <c r="B59" s="71" t="s">
        <v>557</v>
      </c>
      <c r="C59" s="71">
        <v>4</v>
      </c>
      <c r="D59" s="58" t="s">
        <v>545</v>
      </c>
    </row>
    <row r="60" spans="1:4" s="67" customFormat="1" x14ac:dyDescent="0.7">
      <c r="A60" s="58">
        <f t="shared" si="5"/>
        <v>12</v>
      </c>
      <c r="B60" s="69" t="s">
        <v>569</v>
      </c>
      <c r="C60" s="70">
        <v>2</v>
      </c>
      <c r="D60" s="59" t="s">
        <v>570</v>
      </c>
    </row>
    <row r="61" spans="1:4" s="67" customFormat="1" x14ac:dyDescent="0.7">
      <c r="A61" s="58">
        <f t="shared" si="5"/>
        <v>13</v>
      </c>
      <c r="B61" s="69" t="s">
        <v>571</v>
      </c>
      <c r="C61" s="70" t="s">
        <v>572</v>
      </c>
      <c r="D61" s="59" t="s">
        <v>621</v>
      </c>
    </row>
    <row r="62" spans="1:4" s="67" customFormat="1" x14ac:dyDescent="0.7">
      <c r="A62" s="58">
        <f t="shared" si="5"/>
        <v>14</v>
      </c>
      <c r="B62" s="69" t="s">
        <v>574</v>
      </c>
      <c r="C62" s="70">
        <v>2</v>
      </c>
      <c r="D62" s="59" t="s">
        <v>570</v>
      </c>
    </row>
    <row r="63" spans="1:4" s="67" customFormat="1" x14ac:dyDescent="0.7">
      <c r="A63" s="58">
        <f t="shared" si="5"/>
        <v>15</v>
      </c>
      <c r="B63" s="69" t="s">
        <v>606</v>
      </c>
      <c r="C63" s="70">
        <v>2</v>
      </c>
      <c r="D63" s="59"/>
    </row>
    <row r="64" spans="1:4" s="67" customFormat="1" x14ac:dyDescent="0.7">
      <c r="A64" s="66">
        <v>5</v>
      </c>
      <c r="B64" s="66" t="s">
        <v>622</v>
      </c>
      <c r="C64" s="66" t="s">
        <v>25</v>
      </c>
      <c r="D64" s="66" t="s">
        <v>535</v>
      </c>
    </row>
    <row r="65" spans="1:4" s="67" customFormat="1" x14ac:dyDescent="0.7">
      <c r="A65" s="58">
        <v>1</v>
      </c>
      <c r="B65" s="70" t="s">
        <v>555</v>
      </c>
      <c r="C65" s="70">
        <v>3</v>
      </c>
      <c r="D65" s="59" t="s">
        <v>570</v>
      </c>
    </row>
    <row r="66" spans="1:4" s="67" customFormat="1" x14ac:dyDescent="0.7">
      <c r="A66" s="58">
        <f>+A65+1</f>
        <v>2</v>
      </c>
      <c r="B66" s="70" t="s">
        <v>576</v>
      </c>
      <c r="C66" s="70">
        <v>2</v>
      </c>
      <c r="D66" s="59" t="s">
        <v>545</v>
      </c>
    </row>
    <row r="67" spans="1:4" s="67" customFormat="1" x14ac:dyDescent="0.7">
      <c r="A67" s="58">
        <f>+A66+1</f>
        <v>3</v>
      </c>
      <c r="B67" s="70" t="s">
        <v>550</v>
      </c>
      <c r="C67" s="70">
        <v>2</v>
      </c>
      <c r="D67" s="59" t="s">
        <v>545</v>
      </c>
    </row>
    <row r="68" spans="1:4" s="67" customFormat="1" x14ac:dyDescent="0.7">
      <c r="A68" s="58">
        <f>+A67+1</f>
        <v>4</v>
      </c>
      <c r="B68" s="70" t="s">
        <v>551</v>
      </c>
      <c r="C68" s="70">
        <v>1</v>
      </c>
      <c r="D68" s="59" t="s">
        <v>545</v>
      </c>
    </row>
    <row r="69" spans="1:4" s="67" customFormat="1" x14ac:dyDescent="0.7">
      <c r="A69" s="58">
        <f>+A68+1</f>
        <v>5</v>
      </c>
      <c r="B69" s="70" t="s">
        <v>560</v>
      </c>
      <c r="C69" s="70">
        <v>2</v>
      </c>
      <c r="D69" s="59" t="s">
        <v>545</v>
      </c>
    </row>
    <row r="70" spans="1:4" s="67" customFormat="1" x14ac:dyDescent="0.7">
      <c r="A70" s="66">
        <v>6</v>
      </c>
      <c r="B70" s="66" t="s">
        <v>623</v>
      </c>
      <c r="C70" s="66" t="s">
        <v>25</v>
      </c>
      <c r="D70" s="66" t="s">
        <v>535</v>
      </c>
    </row>
    <row r="71" spans="1:4" s="67" customFormat="1" x14ac:dyDescent="0.7">
      <c r="A71" s="58">
        <v>1</v>
      </c>
      <c r="B71" s="71" t="s">
        <v>544</v>
      </c>
      <c r="C71" s="71">
        <v>2</v>
      </c>
      <c r="D71" s="58" t="s">
        <v>545</v>
      </c>
    </row>
    <row r="72" spans="1:4" s="67" customFormat="1" x14ac:dyDescent="0.7">
      <c r="A72" s="58">
        <f t="shared" ref="A72:A78" si="6">+A71+1</f>
        <v>2</v>
      </c>
      <c r="B72" s="71" t="s">
        <v>547</v>
      </c>
      <c r="C72" s="71">
        <v>1</v>
      </c>
      <c r="D72" s="58" t="s">
        <v>545</v>
      </c>
    </row>
    <row r="73" spans="1:4" s="67" customFormat="1" x14ac:dyDescent="0.7">
      <c r="A73" s="58">
        <f t="shared" si="6"/>
        <v>3</v>
      </c>
      <c r="B73" s="71" t="s">
        <v>549</v>
      </c>
      <c r="C73" s="71">
        <v>1</v>
      </c>
      <c r="D73" s="58" t="s">
        <v>545</v>
      </c>
    </row>
    <row r="74" spans="1:4" s="67" customFormat="1" x14ac:dyDescent="0.7">
      <c r="A74" s="58">
        <f t="shared" si="6"/>
        <v>4</v>
      </c>
      <c r="B74" s="71" t="s">
        <v>550</v>
      </c>
      <c r="C74" s="71">
        <v>3</v>
      </c>
      <c r="D74" s="58" t="s">
        <v>545</v>
      </c>
    </row>
    <row r="75" spans="1:4" s="67" customFormat="1" x14ac:dyDescent="0.7">
      <c r="A75" s="58">
        <f t="shared" si="6"/>
        <v>5</v>
      </c>
      <c r="B75" s="71" t="s">
        <v>551</v>
      </c>
      <c r="C75" s="71">
        <v>2</v>
      </c>
      <c r="D75" s="58" t="s">
        <v>545</v>
      </c>
    </row>
    <row r="76" spans="1:4" s="67" customFormat="1" x14ac:dyDescent="0.7">
      <c r="A76" s="58">
        <f t="shared" si="6"/>
        <v>6</v>
      </c>
      <c r="B76" s="71" t="s">
        <v>195</v>
      </c>
      <c r="C76" s="71">
        <v>1</v>
      </c>
      <c r="D76" s="58" t="s">
        <v>570</v>
      </c>
    </row>
    <row r="77" spans="1:4" s="67" customFormat="1" x14ac:dyDescent="0.7">
      <c r="A77" s="58">
        <f t="shared" si="6"/>
        <v>7</v>
      </c>
      <c r="B77" s="71" t="s">
        <v>555</v>
      </c>
      <c r="C77" s="71">
        <v>1</v>
      </c>
      <c r="D77" s="58" t="s">
        <v>570</v>
      </c>
    </row>
    <row r="78" spans="1:4" s="67" customFormat="1" x14ac:dyDescent="0.7">
      <c r="A78" s="58">
        <f t="shared" si="6"/>
        <v>8</v>
      </c>
      <c r="B78" s="71" t="s">
        <v>560</v>
      </c>
      <c r="C78" s="71">
        <v>1</v>
      </c>
      <c r="D78" s="58" t="s">
        <v>545</v>
      </c>
    </row>
    <row r="79" spans="1:4" s="67" customFormat="1" x14ac:dyDescent="0.7">
      <c r="A79" s="66">
        <v>7</v>
      </c>
      <c r="B79" s="66" t="s">
        <v>624</v>
      </c>
      <c r="C79" s="66" t="s">
        <v>25</v>
      </c>
      <c r="D79" s="66" t="s">
        <v>535</v>
      </c>
    </row>
    <row r="80" spans="1:4" s="67" customFormat="1" x14ac:dyDescent="0.7">
      <c r="A80" s="58">
        <v>1</v>
      </c>
      <c r="B80" s="71" t="s">
        <v>555</v>
      </c>
      <c r="C80" s="71">
        <v>1</v>
      </c>
      <c r="D80" s="58" t="s">
        <v>545</v>
      </c>
    </row>
    <row r="81" spans="1:4" s="67" customFormat="1" x14ac:dyDescent="0.7">
      <c r="A81" s="58">
        <f t="shared" ref="A81:A92" si="7">+A80+1</f>
        <v>2</v>
      </c>
      <c r="B81" s="71" t="s">
        <v>546</v>
      </c>
      <c r="C81" s="71">
        <v>2</v>
      </c>
      <c r="D81" s="58" t="s">
        <v>570</v>
      </c>
    </row>
    <row r="82" spans="1:4" s="67" customFormat="1" x14ac:dyDescent="0.7">
      <c r="A82" s="58">
        <f t="shared" si="7"/>
        <v>3</v>
      </c>
      <c r="B82" s="71" t="s">
        <v>543</v>
      </c>
      <c r="C82" s="71">
        <v>2</v>
      </c>
      <c r="D82" s="58" t="s">
        <v>625</v>
      </c>
    </row>
    <row r="83" spans="1:4" s="67" customFormat="1" x14ac:dyDescent="0.7">
      <c r="A83" s="58">
        <f t="shared" si="7"/>
        <v>4</v>
      </c>
      <c r="B83" s="71" t="s">
        <v>541</v>
      </c>
      <c r="C83" s="71">
        <v>3</v>
      </c>
      <c r="D83" s="58" t="s">
        <v>545</v>
      </c>
    </row>
    <row r="84" spans="1:4" s="67" customFormat="1" x14ac:dyDescent="0.7">
      <c r="A84" s="58">
        <f t="shared" si="7"/>
        <v>5</v>
      </c>
      <c r="B84" s="71" t="s">
        <v>544</v>
      </c>
      <c r="C84" s="71">
        <v>4</v>
      </c>
      <c r="D84" s="58" t="s">
        <v>545</v>
      </c>
    </row>
    <row r="85" spans="1:4" s="67" customFormat="1" x14ac:dyDescent="0.7">
      <c r="A85" s="58">
        <f t="shared" si="7"/>
        <v>6</v>
      </c>
      <c r="B85" s="71" t="s">
        <v>576</v>
      </c>
      <c r="C85" s="71">
        <v>2</v>
      </c>
      <c r="D85" s="58" t="s">
        <v>545</v>
      </c>
    </row>
    <row r="86" spans="1:4" s="67" customFormat="1" x14ac:dyDescent="0.7">
      <c r="A86" s="58">
        <f t="shared" si="7"/>
        <v>7</v>
      </c>
      <c r="B86" s="71" t="s">
        <v>626</v>
      </c>
      <c r="C86" s="71">
        <v>2</v>
      </c>
      <c r="D86" s="58" t="s">
        <v>570</v>
      </c>
    </row>
    <row r="87" spans="1:4" s="67" customFormat="1" x14ac:dyDescent="0.7">
      <c r="A87" s="58">
        <f t="shared" si="7"/>
        <v>8</v>
      </c>
      <c r="B87" s="71" t="s">
        <v>547</v>
      </c>
      <c r="C87" s="71">
        <v>5</v>
      </c>
      <c r="D87" s="58" t="s">
        <v>545</v>
      </c>
    </row>
    <row r="88" spans="1:4" s="67" customFormat="1" x14ac:dyDescent="0.7">
      <c r="A88" s="58">
        <f t="shared" si="7"/>
        <v>9</v>
      </c>
      <c r="B88" s="71" t="s">
        <v>549</v>
      </c>
      <c r="C88" s="71">
        <v>5</v>
      </c>
      <c r="D88" s="58" t="s">
        <v>545</v>
      </c>
    </row>
    <row r="89" spans="1:4" s="67" customFormat="1" x14ac:dyDescent="0.7">
      <c r="A89" s="58">
        <f t="shared" si="7"/>
        <v>10</v>
      </c>
      <c r="B89" s="71" t="s">
        <v>550</v>
      </c>
      <c r="C89" s="71">
        <v>21</v>
      </c>
      <c r="D89" s="58" t="s">
        <v>545</v>
      </c>
    </row>
    <row r="90" spans="1:4" s="67" customFormat="1" x14ac:dyDescent="0.7">
      <c r="A90" s="58">
        <f t="shared" si="7"/>
        <v>11</v>
      </c>
      <c r="B90" s="71" t="s">
        <v>551</v>
      </c>
      <c r="C90" s="71">
        <v>7</v>
      </c>
      <c r="D90" s="58" t="s">
        <v>545</v>
      </c>
    </row>
    <row r="91" spans="1:4" s="67" customFormat="1" x14ac:dyDescent="0.7">
      <c r="A91" s="58">
        <f t="shared" si="7"/>
        <v>12</v>
      </c>
      <c r="B91" s="71" t="s">
        <v>554</v>
      </c>
      <c r="C91" s="71">
        <v>2</v>
      </c>
      <c r="D91" s="58" t="s">
        <v>545</v>
      </c>
    </row>
    <row r="92" spans="1:4" s="67" customFormat="1" x14ac:dyDescent="0.7">
      <c r="A92" s="58">
        <f t="shared" si="7"/>
        <v>13</v>
      </c>
      <c r="B92" s="71" t="s">
        <v>560</v>
      </c>
      <c r="C92" s="71">
        <v>3</v>
      </c>
      <c r="D92" s="58" t="s">
        <v>545</v>
      </c>
    </row>
    <row r="93" spans="1:4" s="67" customFormat="1" x14ac:dyDescent="0.7">
      <c r="A93" s="66">
        <v>8</v>
      </c>
      <c r="B93" s="66" t="s">
        <v>627</v>
      </c>
      <c r="C93" s="66" t="s">
        <v>25</v>
      </c>
      <c r="D93" s="66" t="s">
        <v>535</v>
      </c>
    </row>
    <row r="94" spans="1:4" s="67" customFormat="1" x14ac:dyDescent="0.7">
      <c r="A94" s="58">
        <v>1</v>
      </c>
      <c r="B94" s="71" t="s">
        <v>544</v>
      </c>
      <c r="C94" s="71">
        <v>1</v>
      </c>
      <c r="D94" s="58"/>
    </row>
    <row r="95" spans="1:4" s="67" customFormat="1" x14ac:dyDescent="0.7">
      <c r="A95" s="58">
        <f>+A94+1</f>
        <v>2</v>
      </c>
      <c r="B95" s="71" t="s">
        <v>547</v>
      </c>
      <c r="C95" s="71">
        <v>1</v>
      </c>
      <c r="D95" s="58"/>
    </row>
    <row r="96" spans="1:4" s="67" customFormat="1" x14ac:dyDescent="0.7">
      <c r="A96" s="58">
        <f>+A95+1</f>
        <v>3</v>
      </c>
      <c r="B96" s="71" t="s">
        <v>549</v>
      </c>
      <c r="C96" s="71">
        <v>1</v>
      </c>
      <c r="D96" s="58" t="s">
        <v>545</v>
      </c>
    </row>
    <row r="97" spans="1:4" s="67" customFormat="1" x14ac:dyDescent="0.7">
      <c r="A97" s="58">
        <f>+A96+1</f>
        <v>4</v>
      </c>
      <c r="B97" s="71" t="s">
        <v>550</v>
      </c>
      <c r="C97" s="71">
        <v>3</v>
      </c>
      <c r="D97" s="58"/>
    </row>
    <row r="98" spans="1:4" s="67" customFormat="1" x14ac:dyDescent="0.7">
      <c r="A98" s="58">
        <f>+A97+1</f>
        <v>5</v>
      </c>
      <c r="B98" s="71" t="s">
        <v>195</v>
      </c>
      <c r="C98" s="71">
        <v>1</v>
      </c>
      <c r="D98" s="58" t="s">
        <v>556</v>
      </c>
    </row>
    <row r="99" spans="1:4" s="67" customFormat="1" x14ac:dyDescent="0.7">
      <c r="A99" s="58">
        <f>+A98+1</f>
        <v>6</v>
      </c>
      <c r="B99" s="71" t="s">
        <v>628</v>
      </c>
      <c r="C99" s="71">
        <v>3</v>
      </c>
      <c r="D99" s="58" t="s">
        <v>629</v>
      </c>
    </row>
    <row r="100" spans="1:4" s="67" customFormat="1" x14ac:dyDescent="0.7">
      <c r="A100" s="66">
        <v>9</v>
      </c>
      <c r="B100" s="66" t="s">
        <v>630</v>
      </c>
      <c r="C100" s="66" t="s">
        <v>25</v>
      </c>
      <c r="D100" s="66" t="s">
        <v>535</v>
      </c>
    </row>
    <row r="101" spans="1:4" s="67" customFormat="1" x14ac:dyDescent="0.7">
      <c r="A101" s="58">
        <v>1</v>
      </c>
      <c r="B101" s="71" t="s">
        <v>610</v>
      </c>
      <c r="C101" s="71">
        <v>1</v>
      </c>
      <c r="D101" s="58"/>
    </row>
    <row r="102" spans="1:4" s="67" customFormat="1" x14ac:dyDescent="0.7">
      <c r="A102" s="58">
        <v>2</v>
      </c>
      <c r="B102" s="71" t="s">
        <v>549</v>
      </c>
      <c r="C102" s="71">
        <v>1</v>
      </c>
      <c r="D102" s="58" t="s">
        <v>545</v>
      </c>
    </row>
    <row r="103" spans="1:4" s="67" customFormat="1" x14ac:dyDescent="0.7">
      <c r="A103" s="58">
        <v>3</v>
      </c>
      <c r="B103" s="71" t="s">
        <v>550</v>
      </c>
      <c r="C103" s="71">
        <v>2</v>
      </c>
      <c r="D103" s="58"/>
    </row>
    <row r="104" spans="1:4" s="67" customFormat="1" x14ac:dyDescent="0.7">
      <c r="A104" s="58">
        <v>4</v>
      </c>
      <c r="B104" s="71" t="s">
        <v>628</v>
      </c>
      <c r="C104" s="71">
        <v>2</v>
      </c>
      <c r="D104" s="58" t="s">
        <v>629</v>
      </c>
    </row>
    <row r="105" spans="1:4" s="67" customFormat="1" x14ac:dyDescent="0.7">
      <c r="A105" s="66">
        <v>10</v>
      </c>
      <c r="B105" s="66" t="s">
        <v>631</v>
      </c>
      <c r="C105" s="66" t="s">
        <v>25</v>
      </c>
      <c r="D105" s="66" t="s">
        <v>535</v>
      </c>
    </row>
    <row r="106" spans="1:4" s="67" customFormat="1" x14ac:dyDescent="0.7">
      <c r="A106" s="58">
        <v>1</v>
      </c>
      <c r="B106" s="71" t="s">
        <v>576</v>
      </c>
      <c r="C106" s="71">
        <v>1</v>
      </c>
      <c r="D106" s="58"/>
    </row>
    <row r="107" spans="1:4" s="67" customFormat="1" x14ac:dyDescent="0.7">
      <c r="A107" s="58">
        <f>+A106+1</f>
        <v>2</v>
      </c>
      <c r="B107" s="71" t="s">
        <v>550</v>
      </c>
      <c r="C107" s="71">
        <v>4</v>
      </c>
      <c r="D107" s="58"/>
    </row>
    <row r="108" spans="1:4" s="67" customFormat="1" x14ac:dyDescent="0.7">
      <c r="A108" s="58">
        <f>+A107+1</f>
        <v>3</v>
      </c>
      <c r="B108" s="71" t="s">
        <v>560</v>
      </c>
      <c r="C108" s="71">
        <v>1</v>
      </c>
      <c r="D108" s="58"/>
    </row>
    <row r="109" spans="1:4" s="67" customFormat="1" x14ac:dyDescent="0.7">
      <c r="A109" s="58">
        <f>+A108+1</f>
        <v>4</v>
      </c>
      <c r="B109" s="71" t="s">
        <v>628</v>
      </c>
      <c r="C109" s="71">
        <v>1</v>
      </c>
      <c r="D109" s="58" t="s">
        <v>632</v>
      </c>
    </row>
    <row r="110" spans="1:4" s="67" customFormat="1" x14ac:dyDescent="0.7">
      <c r="A110" s="66">
        <v>11</v>
      </c>
      <c r="B110" s="66" t="s">
        <v>303</v>
      </c>
      <c r="C110" s="66" t="s">
        <v>25</v>
      </c>
      <c r="D110" s="66" t="s">
        <v>535</v>
      </c>
    </row>
    <row r="111" spans="1:4" s="67" customFormat="1" x14ac:dyDescent="0.7">
      <c r="A111" s="58">
        <v>1</v>
      </c>
      <c r="B111" s="71" t="s">
        <v>541</v>
      </c>
      <c r="C111" s="71">
        <v>2</v>
      </c>
      <c r="D111" s="58"/>
    </row>
    <row r="112" spans="1:4" s="67" customFormat="1" x14ac:dyDescent="0.7">
      <c r="A112" s="58">
        <f t="shared" ref="A112:A122" si="8">+A111+1</f>
        <v>2</v>
      </c>
      <c r="B112" s="71" t="s">
        <v>544</v>
      </c>
      <c r="C112" s="71">
        <v>1</v>
      </c>
      <c r="D112" s="58"/>
    </row>
    <row r="113" spans="1:4" s="67" customFormat="1" x14ac:dyDescent="0.7">
      <c r="A113" s="58">
        <f t="shared" si="8"/>
        <v>3</v>
      </c>
      <c r="B113" s="71" t="s">
        <v>633</v>
      </c>
      <c r="C113" s="71">
        <v>2</v>
      </c>
      <c r="D113" s="73"/>
    </row>
    <row r="114" spans="1:4" s="67" customFormat="1" x14ac:dyDescent="0.7">
      <c r="A114" s="58">
        <f t="shared" si="8"/>
        <v>4</v>
      </c>
      <c r="B114" s="71" t="s">
        <v>634</v>
      </c>
      <c r="C114" s="71">
        <v>1</v>
      </c>
      <c r="D114" s="58" t="s">
        <v>545</v>
      </c>
    </row>
    <row r="115" spans="1:4" s="67" customFormat="1" x14ac:dyDescent="0.7">
      <c r="A115" s="58">
        <f t="shared" si="8"/>
        <v>5</v>
      </c>
      <c r="B115" s="71" t="s">
        <v>551</v>
      </c>
      <c r="C115" s="71">
        <v>3</v>
      </c>
      <c r="D115" s="73"/>
    </row>
    <row r="116" spans="1:4" s="67" customFormat="1" x14ac:dyDescent="0.7">
      <c r="A116" s="58">
        <f t="shared" si="8"/>
        <v>6</v>
      </c>
      <c r="B116" s="71" t="s">
        <v>550</v>
      </c>
      <c r="C116" s="71">
        <v>7</v>
      </c>
      <c r="D116" s="73"/>
    </row>
    <row r="117" spans="1:4" s="67" customFormat="1" x14ac:dyDescent="0.7">
      <c r="A117" s="58">
        <f t="shared" si="8"/>
        <v>7</v>
      </c>
      <c r="B117" s="71" t="s">
        <v>635</v>
      </c>
      <c r="C117" s="71">
        <v>2</v>
      </c>
      <c r="D117" s="73" t="s">
        <v>636</v>
      </c>
    </row>
    <row r="118" spans="1:4" s="67" customFormat="1" x14ac:dyDescent="0.7">
      <c r="A118" s="58">
        <f t="shared" si="8"/>
        <v>8</v>
      </c>
      <c r="B118" s="71" t="s">
        <v>555</v>
      </c>
      <c r="C118" s="71">
        <v>2</v>
      </c>
      <c r="D118" s="73"/>
    </row>
    <row r="119" spans="1:4" s="67" customFormat="1" x14ac:dyDescent="0.7">
      <c r="A119" s="58">
        <f t="shared" si="8"/>
        <v>9</v>
      </c>
      <c r="B119" s="71" t="s">
        <v>560</v>
      </c>
      <c r="C119" s="71">
        <v>2</v>
      </c>
      <c r="D119" s="73"/>
    </row>
    <row r="120" spans="1:4" s="67" customFormat="1" x14ac:dyDescent="0.7">
      <c r="A120" s="58">
        <f t="shared" si="8"/>
        <v>10</v>
      </c>
      <c r="B120" s="69" t="s">
        <v>569</v>
      </c>
      <c r="C120" s="71">
        <v>1</v>
      </c>
      <c r="D120" s="58" t="s">
        <v>556</v>
      </c>
    </row>
    <row r="121" spans="1:4" s="67" customFormat="1" x14ac:dyDescent="0.7">
      <c r="A121" s="58">
        <f t="shared" si="8"/>
        <v>11</v>
      </c>
      <c r="B121" s="69" t="s">
        <v>571</v>
      </c>
      <c r="C121" s="71" t="s">
        <v>572</v>
      </c>
      <c r="D121" s="58" t="s">
        <v>637</v>
      </c>
    </row>
    <row r="122" spans="1:4" s="67" customFormat="1" x14ac:dyDescent="0.7">
      <c r="A122" s="58">
        <f t="shared" si="8"/>
        <v>12</v>
      </c>
      <c r="B122" s="69" t="s">
        <v>574</v>
      </c>
      <c r="C122" s="71">
        <v>1</v>
      </c>
      <c r="D122" s="73" t="s">
        <v>556</v>
      </c>
    </row>
    <row r="123" spans="1:4" s="67" customFormat="1" x14ac:dyDescent="0.7">
      <c r="A123" s="66">
        <v>12</v>
      </c>
      <c r="B123" s="66" t="s">
        <v>333</v>
      </c>
      <c r="C123" s="66" t="s">
        <v>25</v>
      </c>
      <c r="D123" s="66" t="s">
        <v>535</v>
      </c>
    </row>
    <row r="124" spans="1:4" s="67" customFormat="1" x14ac:dyDescent="0.7">
      <c r="A124" s="58">
        <v>1</v>
      </c>
      <c r="B124" s="71" t="s">
        <v>548</v>
      </c>
      <c r="C124" s="71">
        <v>1</v>
      </c>
      <c r="D124" s="58" t="s">
        <v>545</v>
      </c>
    </row>
    <row r="125" spans="1:4" s="67" customFormat="1" x14ac:dyDescent="0.7">
      <c r="A125" s="58">
        <f t="shared" ref="A125:A135" si="9">+A124+1</f>
        <v>2</v>
      </c>
      <c r="B125" s="71" t="s">
        <v>544</v>
      </c>
      <c r="C125" s="71">
        <v>1</v>
      </c>
      <c r="D125" s="58" t="s">
        <v>545</v>
      </c>
    </row>
    <row r="126" spans="1:4" s="67" customFormat="1" x14ac:dyDescent="0.7">
      <c r="A126" s="58">
        <f t="shared" si="9"/>
        <v>3</v>
      </c>
      <c r="B126" s="71" t="s">
        <v>547</v>
      </c>
      <c r="C126" s="71">
        <v>1</v>
      </c>
      <c r="D126" s="58" t="s">
        <v>545</v>
      </c>
    </row>
    <row r="127" spans="1:4" s="67" customFormat="1" x14ac:dyDescent="0.7">
      <c r="A127" s="58">
        <f t="shared" si="9"/>
        <v>4</v>
      </c>
      <c r="B127" s="71" t="s">
        <v>549</v>
      </c>
      <c r="C127" s="71">
        <v>1</v>
      </c>
      <c r="D127" s="58" t="s">
        <v>545</v>
      </c>
    </row>
    <row r="128" spans="1:4" s="67" customFormat="1" x14ac:dyDescent="0.7">
      <c r="A128" s="58">
        <f t="shared" si="9"/>
        <v>5</v>
      </c>
      <c r="B128" s="71" t="s">
        <v>551</v>
      </c>
      <c r="C128" s="71">
        <v>1</v>
      </c>
      <c r="D128" s="58" t="s">
        <v>545</v>
      </c>
    </row>
    <row r="129" spans="1:4" s="67" customFormat="1" x14ac:dyDescent="0.7">
      <c r="A129" s="58">
        <f t="shared" si="9"/>
        <v>6</v>
      </c>
      <c r="B129" s="71" t="s">
        <v>550</v>
      </c>
      <c r="C129" s="71">
        <v>9</v>
      </c>
      <c r="D129" s="58" t="s">
        <v>545</v>
      </c>
    </row>
    <row r="130" spans="1:4" s="67" customFormat="1" x14ac:dyDescent="0.7">
      <c r="A130" s="58">
        <f t="shared" si="9"/>
        <v>7</v>
      </c>
      <c r="B130" s="71" t="s">
        <v>635</v>
      </c>
      <c r="C130" s="71">
        <v>1</v>
      </c>
      <c r="D130" s="58" t="s">
        <v>556</v>
      </c>
    </row>
    <row r="131" spans="1:4" s="67" customFormat="1" x14ac:dyDescent="0.7">
      <c r="A131" s="58">
        <f t="shared" si="9"/>
        <v>8</v>
      </c>
      <c r="B131" s="71" t="s">
        <v>554</v>
      </c>
      <c r="C131" s="71">
        <v>1</v>
      </c>
      <c r="D131" s="58" t="s">
        <v>545</v>
      </c>
    </row>
    <row r="132" spans="1:4" s="67" customFormat="1" x14ac:dyDescent="0.7">
      <c r="A132" s="58">
        <f t="shared" si="9"/>
        <v>9</v>
      </c>
      <c r="B132" s="71" t="s">
        <v>638</v>
      </c>
      <c r="C132" s="71">
        <v>1</v>
      </c>
      <c r="D132" s="58" t="s">
        <v>545</v>
      </c>
    </row>
    <row r="133" spans="1:4" s="67" customFormat="1" x14ac:dyDescent="0.7">
      <c r="A133" s="58">
        <f t="shared" si="9"/>
        <v>10</v>
      </c>
      <c r="B133" s="71" t="s">
        <v>195</v>
      </c>
      <c r="C133" s="71">
        <v>1</v>
      </c>
      <c r="D133" s="58" t="s">
        <v>556</v>
      </c>
    </row>
    <row r="134" spans="1:4" s="67" customFormat="1" x14ac:dyDescent="0.7">
      <c r="A134" s="58">
        <f t="shared" si="9"/>
        <v>11</v>
      </c>
      <c r="B134" s="71" t="s">
        <v>639</v>
      </c>
      <c r="C134" s="71">
        <v>4</v>
      </c>
      <c r="D134" s="58" t="s">
        <v>545</v>
      </c>
    </row>
    <row r="135" spans="1:4" s="67" customFormat="1" x14ac:dyDescent="0.7">
      <c r="A135" s="58">
        <f t="shared" si="9"/>
        <v>12</v>
      </c>
      <c r="B135" s="71" t="s">
        <v>555</v>
      </c>
      <c r="C135" s="71">
        <v>2</v>
      </c>
      <c r="D135" s="58" t="s">
        <v>556</v>
      </c>
    </row>
    <row r="136" spans="1:4" s="67" customFormat="1" x14ac:dyDescent="0.7">
      <c r="A136" s="66">
        <v>12</v>
      </c>
      <c r="B136" s="66" t="s">
        <v>334</v>
      </c>
      <c r="C136" s="66" t="s">
        <v>25</v>
      </c>
      <c r="D136" s="66" t="s">
        <v>535</v>
      </c>
    </row>
    <row r="137" spans="1:4" s="67" customFormat="1" x14ac:dyDescent="0.7">
      <c r="A137" s="58">
        <v>1</v>
      </c>
      <c r="B137" s="71" t="s">
        <v>548</v>
      </c>
      <c r="C137" s="71">
        <v>1</v>
      </c>
      <c r="D137" s="58" t="s">
        <v>545</v>
      </c>
    </row>
    <row r="138" spans="1:4" s="67" customFormat="1" x14ac:dyDescent="0.7">
      <c r="A138" s="58">
        <f t="shared" ref="A138:A148" si="10">+A137+1</f>
        <v>2</v>
      </c>
      <c r="B138" s="71" t="s">
        <v>544</v>
      </c>
      <c r="C138" s="71">
        <v>1</v>
      </c>
      <c r="D138" s="58" t="s">
        <v>545</v>
      </c>
    </row>
    <row r="139" spans="1:4" s="67" customFormat="1" x14ac:dyDescent="0.7">
      <c r="A139" s="58">
        <f t="shared" si="10"/>
        <v>3</v>
      </c>
      <c r="B139" s="71" t="s">
        <v>547</v>
      </c>
      <c r="C139" s="71">
        <v>1</v>
      </c>
      <c r="D139" s="58" t="s">
        <v>545</v>
      </c>
    </row>
    <row r="140" spans="1:4" s="67" customFormat="1" x14ac:dyDescent="0.7">
      <c r="A140" s="58">
        <f t="shared" si="10"/>
        <v>4</v>
      </c>
      <c r="B140" s="71" t="s">
        <v>549</v>
      </c>
      <c r="C140" s="71">
        <v>1</v>
      </c>
      <c r="D140" s="58" t="s">
        <v>545</v>
      </c>
    </row>
    <row r="141" spans="1:4" s="67" customFormat="1" x14ac:dyDescent="0.7">
      <c r="A141" s="58">
        <f t="shared" si="10"/>
        <v>5</v>
      </c>
      <c r="B141" s="71" t="s">
        <v>551</v>
      </c>
      <c r="C141" s="71">
        <v>1</v>
      </c>
      <c r="D141" s="58" t="s">
        <v>545</v>
      </c>
    </row>
    <row r="142" spans="1:4" s="67" customFormat="1" x14ac:dyDescent="0.7">
      <c r="A142" s="58">
        <f t="shared" si="10"/>
        <v>6</v>
      </c>
      <c r="B142" s="71" t="s">
        <v>550</v>
      </c>
      <c r="C142" s="71">
        <v>9</v>
      </c>
      <c r="D142" s="58" t="s">
        <v>545</v>
      </c>
    </row>
    <row r="143" spans="1:4" s="67" customFormat="1" x14ac:dyDescent="0.7">
      <c r="A143" s="58">
        <f t="shared" si="10"/>
        <v>7</v>
      </c>
      <c r="B143" s="71" t="s">
        <v>635</v>
      </c>
      <c r="C143" s="71">
        <v>1</v>
      </c>
      <c r="D143" s="58" t="s">
        <v>556</v>
      </c>
    </row>
    <row r="144" spans="1:4" s="67" customFormat="1" x14ac:dyDescent="0.7">
      <c r="A144" s="58">
        <f t="shared" si="10"/>
        <v>8</v>
      </c>
      <c r="B144" s="71" t="s">
        <v>554</v>
      </c>
      <c r="C144" s="71">
        <v>1</v>
      </c>
      <c r="D144" s="58" t="s">
        <v>545</v>
      </c>
    </row>
    <row r="145" spans="1:4" s="67" customFormat="1" x14ac:dyDescent="0.7">
      <c r="A145" s="58">
        <f t="shared" si="10"/>
        <v>9</v>
      </c>
      <c r="B145" s="71" t="s">
        <v>638</v>
      </c>
      <c r="C145" s="71">
        <v>1</v>
      </c>
      <c r="D145" s="58" t="s">
        <v>545</v>
      </c>
    </row>
    <row r="146" spans="1:4" s="67" customFormat="1" x14ac:dyDescent="0.7">
      <c r="A146" s="58">
        <f t="shared" si="10"/>
        <v>10</v>
      </c>
      <c r="B146" s="71" t="s">
        <v>195</v>
      </c>
      <c r="C146" s="71">
        <v>1</v>
      </c>
      <c r="D146" s="58" t="s">
        <v>556</v>
      </c>
    </row>
    <row r="147" spans="1:4" s="67" customFormat="1" x14ac:dyDescent="0.7">
      <c r="A147" s="58">
        <f t="shared" si="10"/>
        <v>11</v>
      </c>
      <c r="B147" s="71" t="s">
        <v>639</v>
      </c>
      <c r="C147" s="71">
        <v>4</v>
      </c>
      <c r="D147" s="58" t="s">
        <v>545</v>
      </c>
    </row>
    <row r="148" spans="1:4" s="67" customFormat="1" x14ac:dyDescent="0.7">
      <c r="A148" s="58">
        <f t="shared" si="10"/>
        <v>12</v>
      </c>
      <c r="B148" s="71" t="s">
        <v>555</v>
      </c>
      <c r="C148" s="71">
        <v>2</v>
      </c>
      <c r="D148" s="58" t="s">
        <v>556</v>
      </c>
    </row>
    <row r="149" spans="1:4" s="67" customFormat="1" x14ac:dyDescent="0.7">
      <c r="A149" s="66">
        <v>13</v>
      </c>
      <c r="B149" s="66" t="s">
        <v>640</v>
      </c>
      <c r="C149" s="66" t="s">
        <v>25</v>
      </c>
      <c r="D149" s="66" t="s">
        <v>535</v>
      </c>
    </row>
    <row r="150" spans="1:4" s="67" customFormat="1" x14ac:dyDescent="0.7">
      <c r="A150" s="58">
        <v>1</v>
      </c>
      <c r="B150" s="71" t="s">
        <v>541</v>
      </c>
      <c r="C150" s="71">
        <v>1</v>
      </c>
      <c r="D150" s="58"/>
    </row>
    <row r="151" spans="1:4" s="67" customFormat="1" x14ac:dyDescent="0.7">
      <c r="A151" s="58">
        <v>2</v>
      </c>
      <c r="B151" s="71" t="s">
        <v>634</v>
      </c>
      <c r="C151" s="71">
        <v>1</v>
      </c>
      <c r="D151" s="58" t="s">
        <v>545</v>
      </c>
    </row>
    <row r="152" spans="1:4" s="67" customFormat="1" x14ac:dyDescent="0.7">
      <c r="A152" s="58">
        <f>+A151+1</f>
        <v>3</v>
      </c>
      <c r="B152" s="71" t="s">
        <v>554</v>
      </c>
      <c r="C152" s="71">
        <v>1</v>
      </c>
      <c r="D152" s="73"/>
    </row>
    <row r="153" spans="1:4" s="67" customFormat="1" x14ac:dyDescent="0.7">
      <c r="A153" s="58">
        <f>+A152+1</f>
        <v>4</v>
      </c>
      <c r="B153" s="71" t="s">
        <v>554</v>
      </c>
      <c r="C153" s="71">
        <v>1</v>
      </c>
      <c r="D153" s="73"/>
    </row>
    <row r="154" spans="1:4" s="67" customFormat="1" x14ac:dyDescent="0.7">
      <c r="A154" s="58">
        <f>+A153+1</f>
        <v>5</v>
      </c>
      <c r="B154" s="71" t="s">
        <v>635</v>
      </c>
      <c r="C154" s="71">
        <v>1</v>
      </c>
      <c r="D154" s="73"/>
    </row>
    <row r="155" spans="1:4" s="67" customFormat="1" x14ac:dyDescent="0.7">
      <c r="A155" s="58">
        <f>+A154+1</f>
        <v>6</v>
      </c>
      <c r="B155" s="71" t="s">
        <v>609</v>
      </c>
      <c r="C155" s="71">
        <v>1</v>
      </c>
      <c r="D155" s="73"/>
    </row>
    <row r="156" spans="1:4" s="67" customFormat="1" x14ac:dyDescent="0.7">
      <c r="A156" s="58">
        <f>+A155+1</f>
        <v>7</v>
      </c>
      <c r="B156" s="71" t="s">
        <v>641</v>
      </c>
      <c r="C156" s="71">
        <v>1</v>
      </c>
      <c r="D156" s="73"/>
    </row>
    <row r="157" spans="1:4" s="67" customFormat="1" x14ac:dyDescent="0.7">
      <c r="A157" s="66">
        <v>14</v>
      </c>
      <c r="B157" s="66" t="s">
        <v>642</v>
      </c>
      <c r="C157" s="66" t="s">
        <v>25</v>
      </c>
      <c r="D157" s="66" t="s">
        <v>535</v>
      </c>
    </row>
    <row r="158" spans="1:4" s="67" customFormat="1" x14ac:dyDescent="0.7">
      <c r="A158" s="59">
        <v>1</v>
      </c>
      <c r="B158" s="70" t="s">
        <v>555</v>
      </c>
      <c r="C158" s="70">
        <v>2</v>
      </c>
      <c r="D158" s="59" t="s">
        <v>604</v>
      </c>
    </row>
    <row r="159" spans="1:4" s="67" customFormat="1" x14ac:dyDescent="0.7">
      <c r="A159" s="59">
        <v>2</v>
      </c>
      <c r="B159" s="70" t="s">
        <v>580</v>
      </c>
      <c r="C159" s="70" t="s">
        <v>572</v>
      </c>
      <c r="D159" s="59" t="s">
        <v>643</v>
      </c>
    </row>
    <row r="160" spans="1:4" s="67" customFormat="1" x14ac:dyDescent="0.7">
      <c r="A160" s="59">
        <v>3</v>
      </c>
      <c r="B160" s="70" t="s">
        <v>611</v>
      </c>
      <c r="C160" s="70">
        <v>2</v>
      </c>
      <c r="D160" s="59"/>
    </row>
    <row r="161" spans="1:4" s="67" customFormat="1" x14ac:dyDescent="0.7">
      <c r="A161" s="59">
        <v>4</v>
      </c>
      <c r="B161" s="70" t="s">
        <v>610</v>
      </c>
      <c r="C161" s="70">
        <v>1</v>
      </c>
      <c r="D161" s="59"/>
    </row>
    <row r="162" spans="1:4" s="67" customFormat="1" x14ac:dyDescent="0.7">
      <c r="A162" s="59">
        <v>5</v>
      </c>
      <c r="B162" s="70" t="s">
        <v>560</v>
      </c>
      <c r="C162" s="70">
        <v>2</v>
      </c>
      <c r="D162" s="59"/>
    </row>
    <row r="163" spans="1:4" s="67" customFormat="1" x14ac:dyDescent="0.7">
      <c r="A163" s="66">
        <v>15</v>
      </c>
      <c r="B163" s="66" t="s">
        <v>644</v>
      </c>
      <c r="C163" s="66" t="s">
        <v>25</v>
      </c>
      <c r="D163" s="66" t="s">
        <v>535</v>
      </c>
    </row>
    <row r="164" spans="1:4" s="67" customFormat="1" x14ac:dyDescent="0.7">
      <c r="A164" s="58">
        <v>1</v>
      </c>
      <c r="B164" s="71" t="s">
        <v>541</v>
      </c>
      <c r="C164" s="71">
        <v>1</v>
      </c>
      <c r="D164" s="58"/>
    </row>
    <row r="165" spans="1:4" s="67" customFormat="1" x14ac:dyDescent="0.7">
      <c r="A165" s="58">
        <f t="shared" ref="A165:A172" si="11">+A164+1</f>
        <v>2</v>
      </c>
      <c r="B165" s="71" t="s">
        <v>544</v>
      </c>
      <c r="C165" s="71">
        <v>3</v>
      </c>
      <c r="D165" s="58"/>
    </row>
    <row r="166" spans="1:4" s="67" customFormat="1" x14ac:dyDescent="0.7">
      <c r="A166" s="58">
        <f t="shared" si="11"/>
        <v>3</v>
      </c>
      <c r="B166" s="71" t="s">
        <v>633</v>
      </c>
      <c r="C166" s="71">
        <v>3</v>
      </c>
      <c r="D166" s="73"/>
    </row>
    <row r="167" spans="1:4" s="67" customFormat="1" x14ac:dyDescent="0.7">
      <c r="A167" s="58">
        <f t="shared" si="11"/>
        <v>4</v>
      </c>
      <c r="B167" s="71" t="s">
        <v>634</v>
      </c>
      <c r="C167" s="71">
        <v>3</v>
      </c>
      <c r="D167" s="59" t="s">
        <v>545</v>
      </c>
    </row>
    <row r="168" spans="1:4" s="67" customFormat="1" x14ac:dyDescent="0.7">
      <c r="A168" s="58">
        <f t="shared" si="11"/>
        <v>5</v>
      </c>
      <c r="B168" s="71" t="s">
        <v>551</v>
      </c>
      <c r="C168" s="71">
        <v>4</v>
      </c>
      <c r="D168" s="73"/>
    </row>
    <row r="169" spans="1:4" s="67" customFormat="1" x14ac:dyDescent="0.7">
      <c r="A169" s="58">
        <f t="shared" si="11"/>
        <v>6</v>
      </c>
      <c r="B169" s="71" t="s">
        <v>550</v>
      </c>
      <c r="C169" s="71">
        <v>8</v>
      </c>
      <c r="D169" s="73"/>
    </row>
    <row r="170" spans="1:4" s="67" customFormat="1" x14ac:dyDescent="0.7">
      <c r="A170" s="58">
        <f t="shared" si="11"/>
        <v>7</v>
      </c>
      <c r="B170" s="71" t="s">
        <v>635</v>
      </c>
      <c r="C170" s="71">
        <v>1</v>
      </c>
      <c r="D170" s="73"/>
    </row>
    <row r="171" spans="1:4" s="67" customFormat="1" x14ac:dyDescent="0.7">
      <c r="A171" s="58">
        <f t="shared" si="11"/>
        <v>8</v>
      </c>
      <c r="B171" s="71" t="s">
        <v>645</v>
      </c>
      <c r="C171" s="71">
        <v>2</v>
      </c>
      <c r="D171" s="73"/>
    </row>
    <row r="172" spans="1:4" s="67" customFormat="1" x14ac:dyDescent="0.7">
      <c r="A172" s="58">
        <f t="shared" si="11"/>
        <v>9</v>
      </c>
      <c r="B172" s="71" t="s">
        <v>609</v>
      </c>
      <c r="C172" s="71">
        <v>1</v>
      </c>
      <c r="D172" s="73"/>
    </row>
    <row r="173" spans="1:4" s="67" customFormat="1" x14ac:dyDescent="0.7">
      <c r="A173" s="66">
        <v>16</v>
      </c>
      <c r="B173" s="66" t="s">
        <v>646</v>
      </c>
      <c r="C173" s="66" t="s">
        <v>25</v>
      </c>
      <c r="D173" s="66" t="s">
        <v>535</v>
      </c>
    </row>
    <row r="174" spans="1:4" s="67" customFormat="1" x14ac:dyDescent="0.7">
      <c r="A174" s="58">
        <v>1</v>
      </c>
      <c r="B174" s="71" t="s">
        <v>541</v>
      </c>
      <c r="C174" s="71">
        <v>1</v>
      </c>
      <c r="D174" s="58"/>
    </row>
    <row r="175" spans="1:4" s="67" customFormat="1" x14ac:dyDescent="0.7">
      <c r="A175" s="58">
        <f t="shared" ref="A175:A184" si="12">+A174+1</f>
        <v>2</v>
      </c>
      <c r="B175" s="71" t="s">
        <v>544</v>
      </c>
      <c r="C175" s="71">
        <v>1</v>
      </c>
      <c r="D175" s="58"/>
    </row>
    <row r="176" spans="1:4" s="67" customFormat="1" x14ac:dyDescent="0.7">
      <c r="A176" s="58">
        <f t="shared" si="12"/>
        <v>3</v>
      </c>
      <c r="B176" s="71" t="s">
        <v>633</v>
      </c>
      <c r="C176" s="71">
        <v>1</v>
      </c>
      <c r="D176" s="73"/>
    </row>
    <row r="177" spans="1:4" s="67" customFormat="1" x14ac:dyDescent="0.7">
      <c r="A177" s="58">
        <f t="shared" si="12"/>
        <v>4</v>
      </c>
      <c r="B177" s="71" t="s">
        <v>634</v>
      </c>
      <c r="C177" s="71">
        <v>1</v>
      </c>
      <c r="D177" s="59" t="s">
        <v>545</v>
      </c>
    </row>
    <row r="178" spans="1:4" s="67" customFormat="1" x14ac:dyDescent="0.7">
      <c r="A178" s="58">
        <f t="shared" si="12"/>
        <v>5</v>
      </c>
      <c r="B178" s="71" t="s">
        <v>551</v>
      </c>
      <c r="C178" s="71">
        <v>2</v>
      </c>
      <c r="D178" s="73"/>
    </row>
    <row r="179" spans="1:4" s="67" customFormat="1" x14ac:dyDescent="0.7">
      <c r="A179" s="58">
        <f t="shared" si="12"/>
        <v>6</v>
      </c>
      <c r="B179" s="71" t="s">
        <v>550</v>
      </c>
      <c r="C179" s="71">
        <v>4</v>
      </c>
      <c r="D179" s="73"/>
    </row>
    <row r="180" spans="1:4" s="67" customFormat="1" x14ac:dyDescent="0.7">
      <c r="A180" s="58">
        <f t="shared" si="12"/>
        <v>7</v>
      </c>
      <c r="B180" s="71" t="s">
        <v>635</v>
      </c>
      <c r="C180" s="71">
        <v>1</v>
      </c>
      <c r="D180" s="73"/>
    </row>
    <row r="181" spans="1:4" s="67" customFormat="1" x14ac:dyDescent="0.7">
      <c r="A181" s="58">
        <f t="shared" si="12"/>
        <v>8</v>
      </c>
      <c r="B181" s="71" t="s">
        <v>645</v>
      </c>
      <c r="C181" s="71">
        <v>1</v>
      </c>
      <c r="D181" s="73"/>
    </row>
    <row r="182" spans="1:4" s="67" customFormat="1" x14ac:dyDescent="0.7">
      <c r="A182" s="58">
        <f t="shared" si="12"/>
        <v>9</v>
      </c>
      <c r="B182" s="71" t="s">
        <v>609</v>
      </c>
      <c r="C182" s="71">
        <v>1</v>
      </c>
      <c r="D182" s="73"/>
    </row>
    <row r="183" spans="1:4" s="67" customFormat="1" x14ac:dyDescent="0.7">
      <c r="A183" s="58">
        <f t="shared" si="12"/>
        <v>10</v>
      </c>
      <c r="B183" s="71" t="s">
        <v>641</v>
      </c>
      <c r="C183" s="71">
        <v>1</v>
      </c>
      <c r="D183" s="73"/>
    </row>
    <row r="184" spans="1:4" s="67" customFormat="1" x14ac:dyDescent="0.7">
      <c r="A184" s="58">
        <f t="shared" si="12"/>
        <v>11</v>
      </c>
      <c r="B184" s="71" t="s">
        <v>554</v>
      </c>
      <c r="C184" s="71">
        <v>1</v>
      </c>
      <c r="D184" s="73"/>
    </row>
    <row r="185" spans="1:4" s="67" customFormat="1" x14ac:dyDescent="0.7">
      <c r="A185" s="66">
        <v>17</v>
      </c>
      <c r="B185" s="66" t="s">
        <v>647</v>
      </c>
      <c r="C185" s="66" t="s">
        <v>25</v>
      </c>
      <c r="D185" s="66" t="s">
        <v>535</v>
      </c>
    </row>
    <row r="186" spans="1:4" s="67" customFormat="1" x14ac:dyDescent="0.7">
      <c r="A186" s="58">
        <v>1</v>
      </c>
      <c r="B186" s="71" t="s">
        <v>541</v>
      </c>
      <c r="C186" s="71">
        <v>4</v>
      </c>
      <c r="D186" s="58"/>
    </row>
    <row r="187" spans="1:4" s="67" customFormat="1" x14ac:dyDescent="0.7">
      <c r="A187" s="58">
        <f t="shared" ref="A187:A197" si="13">+A186+1</f>
        <v>2</v>
      </c>
      <c r="B187" s="71" t="s">
        <v>576</v>
      </c>
      <c r="C187" s="71">
        <v>4</v>
      </c>
      <c r="D187" s="58"/>
    </row>
    <row r="188" spans="1:4" s="67" customFormat="1" x14ac:dyDescent="0.7">
      <c r="A188" s="58">
        <f t="shared" si="13"/>
        <v>3</v>
      </c>
      <c r="B188" s="71" t="s">
        <v>633</v>
      </c>
      <c r="C188" s="71">
        <v>4</v>
      </c>
      <c r="D188" s="73"/>
    </row>
    <row r="189" spans="1:4" s="67" customFormat="1" x14ac:dyDescent="0.7">
      <c r="A189" s="58">
        <f t="shared" si="13"/>
        <v>4</v>
      </c>
      <c r="B189" s="71" t="s">
        <v>634</v>
      </c>
      <c r="C189" s="71">
        <v>4</v>
      </c>
      <c r="D189" s="59" t="s">
        <v>545</v>
      </c>
    </row>
    <row r="190" spans="1:4" s="67" customFormat="1" x14ac:dyDescent="0.7">
      <c r="A190" s="58">
        <f t="shared" si="13"/>
        <v>5</v>
      </c>
      <c r="B190" s="71" t="s">
        <v>551</v>
      </c>
      <c r="C190" s="71">
        <v>8</v>
      </c>
      <c r="D190" s="73"/>
    </row>
    <row r="191" spans="1:4" s="67" customFormat="1" x14ac:dyDescent="0.7">
      <c r="A191" s="58">
        <f t="shared" si="13"/>
        <v>6</v>
      </c>
      <c r="B191" s="71" t="s">
        <v>550</v>
      </c>
      <c r="C191" s="71">
        <v>48</v>
      </c>
      <c r="D191" s="73"/>
    </row>
    <row r="192" spans="1:4" s="67" customFormat="1" x14ac:dyDescent="0.7">
      <c r="A192" s="58">
        <f t="shared" si="13"/>
        <v>7</v>
      </c>
      <c r="B192" s="71" t="s">
        <v>635</v>
      </c>
      <c r="C192" s="71">
        <v>4</v>
      </c>
      <c r="D192" s="73"/>
    </row>
    <row r="193" spans="1:4" s="67" customFormat="1" x14ac:dyDescent="0.7">
      <c r="A193" s="58">
        <f t="shared" si="13"/>
        <v>8</v>
      </c>
      <c r="B193" s="71" t="s">
        <v>648</v>
      </c>
      <c r="C193" s="71">
        <v>16</v>
      </c>
      <c r="D193" s="73"/>
    </row>
    <row r="194" spans="1:4" s="67" customFormat="1" x14ac:dyDescent="0.7">
      <c r="A194" s="58">
        <f t="shared" si="13"/>
        <v>9</v>
      </c>
      <c r="B194" s="71" t="s">
        <v>195</v>
      </c>
      <c r="C194" s="71">
        <v>8</v>
      </c>
      <c r="D194" s="73"/>
    </row>
    <row r="195" spans="1:4" s="67" customFormat="1" x14ac:dyDescent="0.7">
      <c r="A195" s="58">
        <f t="shared" si="13"/>
        <v>10</v>
      </c>
      <c r="B195" s="71" t="s">
        <v>554</v>
      </c>
      <c r="C195" s="71">
        <v>4</v>
      </c>
      <c r="D195" s="73"/>
    </row>
    <row r="196" spans="1:4" s="67" customFormat="1" x14ac:dyDescent="0.7">
      <c r="A196" s="58">
        <f t="shared" si="13"/>
        <v>11</v>
      </c>
      <c r="B196" s="71" t="s">
        <v>609</v>
      </c>
      <c r="C196" s="71">
        <v>4</v>
      </c>
      <c r="D196" s="58"/>
    </row>
    <row r="197" spans="1:4" s="67" customFormat="1" x14ac:dyDescent="0.7">
      <c r="A197" s="58">
        <f t="shared" si="13"/>
        <v>12</v>
      </c>
      <c r="B197" s="71" t="s">
        <v>649</v>
      </c>
      <c r="C197" s="71">
        <v>2</v>
      </c>
      <c r="D197" s="58"/>
    </row>
    <row r="198" spans="1:4" s="67" customFormat="1" x14ac:dyDescent="0.7">
      <c r="A198" s="66">
        <v>18</v>
      </c>
      <c r="B198" s="66" t="s">
        <v>650</v>
      </c>
      <c r="C198" s="66" t="s">
        <v>25</v>
      </c>
      <c r="D198" s="66" t="s">
        <v>535</v>
      </c>
    </row>
    <row r="199" spans="1:4" s="67" customFormat="1" x14ac:dyDescent="0.7">
      <c r="A199" s="58">
        <v>1</v>
      </c>
      <c r="B199" s="71" t="s">
        <v>544</v>
      </c>
      <c r="C199" s="71">
        <v>6</v>
      </c>
      <c r="D199" s="58"/>
    </row>
    <row r="200" spans="1:4" s="67" customFormat="1" x14ac:dyDescent="0.7">
      <c r="A200" s="58">
        <f t="shared" ref="A200:A209" si="14">+A199+1</f>
        <v>2</v>
      </c>
      <c r="B200" s="71" t="s">
        <v>576</v>
      </c>
      <c r="C200" s="71">
        <v>1</v>
      </c>
      <c r="D200" s="58"/>
    </row>
    <row r="201" spans="1:4" s="67" customFormat="1" x14ac:dyDescent="0.7">
      <c r="A201" s="58">
        <f t="shared" si="14"/>
        <v>3</v>
      </c>
      <c r="B201" s="71" t="s">
        <v>633</v>
      </c>
      <c r="C201" s="71">
        <v>4</v>
      </c>
      <c r="D201" s="73"/>
    </row>
    <row r="202" spans="1:4" s="67" customFormat="1" x14ac:dyDescent="0.7">
      <c r="A202" s="58">
        <f t="shared" si="14"/>
        <v>4</v>
      </c>
      <c r="B202" s="71" t="s">
        <v>634</v>
      </c>
      <c r="C202" s="71">
        <v>4</v>
      </c>
      <c r="D202" s="59" t="s">
        <v>545</v>
      </c>
    </row>
    <row r="203" spans="1:4" s="67" customFormat="1" x14ac:dyDescent="0.7">
      <c r="A203" s="58">
        <f t="shared" si="14"/>
        <v>5</v>
      </c>
      <c r="B203" s="71" t="s">
        <v>551</v>
      </c>
      <c r="C203" s="71">
        <v>4</v>
      </c>
      <c r="D203" s="73"/>
    </row>
    <row r="204" spans="1:4" s="67" customFormat="1" x14ac:dyDescent="0.7">
      <c r="A204" s="58">
        <f t="shared" si="14"/>
        <v>6</v>
      </c>
      <c r="B204" s="71" t="s">
        <v>550</v>
      </c>
      <c r="C204" s="71">
        <v>12</v>
      </c>
      <c r="D204" s="73"/>
    </row>
    <row r="205" spans="1:4" s="67" customFormat="1" x14ac:dyDescent="0.7">
      <c r="A205" s="58">
        <f t="shared" si="14"/>
        <v>7</v>
      </c>
      <c r="B205" s="71" t="s">
        <v>635</v>
      </c>
      <c r="C205" s="71">
        <v>2</v>
      </c>
      <c r="D205" s="73"/>
    </row>
    <row r="206" spans="1:4" s="67" customFormat="1" x14ac:dyDescent="0.7">
      <c r="A206" s="58">
        <f t="shared" si="14"/>
        <v>8</v>
      </c>
      <c r="B206" s="71" t="s">
        <v>560</v>
      </c>
      <c r="C206" s="71">
        <v>2</v>
      </c>
      <c r="D206" s="58"/>
    </row>
    <row r="207" spans="1:4" s="67" customFormat="1" x14ac:dyDescent="0.7">
      <c r="A207" s="58">
        <f t="shared" si="14"/>
        <v>9</v>
      </c>
      <c r="B207" s="71" t="s">
        <v>641</v>
      </c>
      <c r="C207" s="71">
        <v>2</v>
      </c>
      <c r="D207" s="58"/>
    </row>
    <row r="208" spans="1:4" s="67" customFormat="1" x14ac:dyDescent="0.7">
      <c r="A208" s="58">
        <f t="shared" si="14"/>
        <v>10</v>
      </c>
      <c r="B208" s="71" t="s">
        <v>609</v>
      </c>
      <c r="C208" s="71">
        <v>2</v>
      </c>
      <c r="D208" s="58"/>
    </row>
    <row r="209" spans="1:4" s="67" customFormat="1" x14ac:dyDescent="0.7">
      <c r="A209" s="58">
        <f t="shared" si="14"/>
        <v>11</v>
      </c>
      <c r="B209" s="71" t="s">
        <v>628</v>
      </c>
      <c r="C209" s="71">
        <v>4</v>
      </c>
      <c r="D209" s="58"/>
    </row>
    <row r="210" spans="1:4" s="67" customFormat="1" x14ac:dyDescent="0.7">
      <c r="A210" s="66">
        <v>18</v>
      </c>
      <c r="B210" s="66" t="s">
        <v>651</v>
      </c>
      <c r="C210" s="66" t="s">
        <v>25</v>
      </c>
      <c r="D210" s="66" t="s">
        <v>535</v>
      </c>
    </row>
    <row r="211" spans="1:4" s="67" customFormat="1" x14ac:dyDescent="0.7">
      <c r="A211" s="58">
        <v>1</v>
      </c>
      <c r="B211" s="71" t="s">
        <v>548</v>
      </c>
      <c r="C211" s="71">
        <v>1</v>
      </c>
      <c r="D211" s="58" t="s">
        <v>545</v>
      </c>
    </row>
    <row r="212" spans="1:4" s="67" customFormat="1" x14ac:dyDescent="0.7">
      <c r="A212" s="58">
        <f t="shared" ref="A212:A219" si="15">+A211+1</f>
        <v>2</v>
      </c>
      <c r="B212" s="71" t="s">
        <v>633</v>
      </c>
      <c r="C212" s="71">
        <v>1</v>
      </c>
      <c r="D212" s="73"/>
    </row>
    <row r="213" spans="1:4" s="67" customFormat="1" x14ac:dyDescent="0.7">
      <c r="A213" s="58">
        <f t="shared" si="15"/>
        <v>3</v>
      </c>
      <c r="B213" s="71" t="s">
        <v>634</v>
      </c>
      <c r="C213" s="71">
        <v>1</v>
      </c>
      <c r="D213" s="59" t="s">
        <v>545</v>
      </c>
    </row>
    <row r="214" spans="1:4" s="67" customFormat="1" x14ac:dyDescent="0.7">
      <c r="A214" s="58">
        <f t="shared" si="15"/>
        <v>4</v>
      </c>
      <c r="B214" s="71" t="s">
        <v>551</v>
      </c>
      <c r="C214" s="71">
        <v>1</v>
      </c>
      <c r="D214" s="73"/>
    </row>
    <row r="215" spans="1:4" s="67" customFormat="1" x14ac:dyDescent="0.7">
      <c r="A215" s="58">
        <f t="shared" si="15"/>
        <v>5</v>
      </c>
      <c r="B215" s="71" t="s">
        <v>550</v>
      </c>
      <c r="C215" s="71">
        <v>5</v>
      </c>
      <c r="D215" s="73"/>
    </row>
    <row r="216" spans="1:4" s="67" customFormat="1" x14ac:dyDescent="0.7">
      <c r="A216" s="58">
        <f t="shared" si="15"/>
        <v>6</v>
      </c>
      <c r="B216" s="71" t="s">
        <v>635</v>
      </c>
      <c r="C216" s="71"/>
      <c r="D216" s="73" t="s">
        <v>636</v>
      </c>
    </row>
    <row r="217" spans="1:4" s="67" customFormat="1" x14ac:dyDescent="0.7">
      <c r="A217" s="58">
        <f t="shared" si="15"/>
        <v>7</v>
      </c>
      <c r="B217" s="71" t="s">
        <v>648</v>
      </c>
      <c r="C217" s="71">
        <v>1</v>
      </c>
      <c r="D217" s="73"/>
    </row>
    <row r="218" spans="1:4" s="67" customFormat="1" x14ac:dyDescent="0.7">
      <c r="A218" s="58">
        <f t="shared" si="15"/>
        <v>8</v>
      </c>
      <c r="B218" s="71" t="s">
        <v>628</v>
      </c>
      <c r="C218" s="71">
        <v>1</v>
      </c>
      <c r="D218" s="73"/>
    </row>
    <row r="219" spans="1:4" s="67" customFormat="1" x14ac:dyDescent="0.7">
      <c r="A219" s="58">
        <f t="shared" si="15"/>
        <v>9</v>
      </c>
      <c r="B219" s="71" t="s">
        <v>560</v>
      </c>
      <c r="C219" s="71">
        <v>1</v>
      </c>
      <c r="D219" s="73"/>
    </row>
    <row r="220" spans="1:4" s="67" customFormat="1" x14ac:dyDescent="0.7"/>
    <row r="221" spans="1:4" s="67" customFormat="1" x14ac:dyDescent="0.7">
      <c r="A221" s="66"/>
      <c r="B221" s="66" t="s">
        <v>652</v>
      </c>
      <c r="C221" s="66" t="s">
        <v>25</v>
      </c>
      <c r="D221" s="66" t="s">
        <v>535</v>
      </c>
    </row>
    <row r="222" spans="1:4" s="67" customFormat="1" x14ac:dyDescent="0.7">
      <c r="A222" s="58">
        <v>1</v>
      </c>
      <c r="B222" s="71" t="s">
        <v>616</v>
      </c>
      <c r="C222" s="71">
        <v>16</v>
      </c>
      <c r="D222" s="58" t="s">
        <v>570</v>
      </c>
    </row>
    <row r="223" spans="1:4" s="67" customFormat="1" x14ac:dyDescent="0.7">
      <c r="A223" s="58">
        <v>2</v>
      </c>
      <c r="B223" s="71" t="s">
        <v>653</v>
      </c>
      <c r="C223" s="71"/>
      <c r="D223" s="58"/>
    </row>
  </sheetData>
  <mergeCells count="1">
    <mergeCell ref="G1:K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E9706-A2E7-480E-BA06-C0F326C10454}">
  <sheetPr>
    <tabColor theme="0"/>
    <pageSetUpPr fitToPage="1"/>
  </sheetPr>
  <dimension ref="A1:J15"/>
  <sheetViews>
    <sheetView view="pageBreakPreview" topLeftCell="A24" zoomScaleNormal="81" zoomScaleSheetLayoutView="100" workbookViewId="0">
      <selection activeCell="H28" sqref="H28"/>
    </sheetView>
  </sheetViews>
  <sheetFormatPr defaultColWidth="8.7265625" defaultRowHeight="17" x14ac:dyDescent="0.35"/>
  <cols>
    <col min="1" max="1" width="4.54296875" style="62" bestFit="1" customWidth="1"/>
    <col min="2" max="2" width="37.453125" style="189" bestFit="1" customWidth="1"/>
    <col min="3" max="3" width="4.6328125" style="62" bestFit="1" customWidth="1"/>
    <col min="4" max="4" width="4.7265625" style="62" bestFit="1" customWidth="1"/>
    <col min="5" max="5" width="4.1796875" style="62" bestFit="1" customWidth="1"/>
    <col min="6" max="6" width="6.54296875" style="62" bestFit="1" customWidth="1"/>
    <col min="7" max="7" width="7.54296875" style="62" bestFit="1" customWidth="1"/>
    <col min="8" max="8" width="6.1796875" style="62" bestFit="1" customWidth="1"/>
    <col min="9" max="9" width="8.08984375" style="62" bestFit="1" customWidth="1"/>
    <col min="10" max="10" width="13" style="62" bestFit="1" customWidth="1"/>
    <col min="11" max="13" width="8.7265625" style="62"/>
    <col min="14" max="14" width="13.26953125" style="62" bestFit="1" customWidth="1"/>
    <col min="15" max="16384" width="8.7265625" style="62"/>
  </cols>
  <sheetData>
    <row r="1" spans="1:10" x14ac:dyDescent="0.35">
      <c r="A1" s="295" t="s">
        <v>654</v>
      </c>
      <c r="B1" s="296"/>
      <c r="C1" s="296"/>
      <c r="D1" s="296"/>
      <c r="E1" s="296"/>
      <c r="F1" s="296"/>
      <c r="G1" s="296"/>
      <c r="H1" s="296"/>
      <c r="I1" s="296"/>
      <c r="J1" s="297"/>
    </row>
    <row r="2" spans="1:10" s="60" customFormat="1" x14ac:dyDescent="0.35">
      <c r="A2" s="298" t="s">
        <v>2</v>
      </c>
      <c r="B2" s="293" t="s">
        <v>160</v>
      </c>
      <c r="C2" s="299" t="s">
        <v>161</v>
      </c>
      <c r="D2" s="299" t="s">
        <v>162</v>
      </c>
      <c r="E2" s="299" t="s">
        <v>25</v>
      </c>
      <c r="F2" s="299" t="s">
        <v>163</v>
      </c>
      <c r="G2" s="299"/>
      <c r="H2" s="299"/>
      <c r="I2" s="293" t="s">
        <v>5</v>
      </c>
      <c r="J2" s="294" t="s">
        <v>8</v>
      </c>
    </row>
    <row r="3" spans="1:10" s="60" customFormat="1" x14ac:dyDescent="0.35">
      <c r="A3" s="298"/>
      <c r="B3" s="293"/>
      <c r="C3" s="299"/>
      <c r="D3" s="299"/>
      <c r="E3" s="299"/>
      <c r="F3" s="271" t="s">
        <v>165</v>
      </c>
      <c r="G3" s="271" t="s">
        <v>166</v>
      </c>
      <c r="H3" s="271" t="s">
        <v>167</v>
      </c>
      <c r="I3" s="293"/>
      <c r="J3" s="294"/>
    </row>
    <row r="4" spans="1:10" ht="51" x14ac:dyDescent="0.35">
      <c r="A4" s="286">
        <v>1</v>
      </c>
      <c r="B4" s="277" t="s">
        <v>90</v>
      </c>
      <c r="C4" s="59" t="s">
        <v>91</v>
      </c>
      <c r="D4" s="59" t="s">
        <v>173</v>
      </c>
      <c r="E4" s="61">
        <v>14</v>
      </c>
      <c r="F4" s="59"/>
      <c r="G4" s="59"/>
      <c r="H4" s="59"/>
      <c r="I4" s="61">
        <f>E4</f>
        <v>14</v>
      </c>
      <c r="J4" s="209"/>
    </row>
    <row r="5" spans="1:10" ht="51" x14ac:dyDescent="0.35">
      <c r="A5" s="286">
        <v>2</v>
      </c>
      <c r="B5" s="243" t="s">
        <v>92</v>
      </c>
      <c r="C5" s="59" t="s">
        <v>91</v>
      </c>
      <c r="D5" s="59" t="s">
        <v>173</v>
      </c>
      <c r="E5" s="61">
        <v>8</v>
      </c>
      <c r="F5" s="59"/>
      <c r="G5" s="59"/>
      <c r="H5" s="59"/>
      <c r="I5" s="61">
        <f>E5</f>
        <v>8</v>
      </c>
      <c r="J5" s="209"/>
    </row>
    <row r="6" spans="1:10" ht="102" x14ac:dyDescent="0.35">
      <c r="A6" s="286">
        <v>3</v>
      </c>
      <c r="B6" s="277" t="s">
        <v>93</v>
      </c>
      <c r="C6" s="59" t="s">
        <v>91</v>
      </c>
      <c r="D6" s="59" t="s">
        <v>173</v>
      </c>
      <c r="E6" s="61">
        <v>6</v>
      </c>
      <c r="F6" s="59"/>
      <c r="G6" s="59"/>
      <c r="H6" s="59"/>
      <c r="I6" s="61">
        <f t="shared" ref="I6:I13" si="0">E6</f>
        <v>6</v>
      </c>
      <c r="J6" s="209"/>
    </row>
    <row r="7" spans="1:10" x14ac:dyDescent="0.35">
      <c r="A7" s="286">
        <v>4</v>
      </c>
      <c r="B7" s="277" t="s">
        <v>94</v>
      </c>
      <c r="C7" s="59" t="s">
        <v>91</v>
      </c>
      <c r="D7" s="59" t="s">
        <v>173</v>
      </c>
      <c r="E7" s="61">
        <v>13</v>
      </c>
      <c r="F7" s="59"/>
      <c r="G7" s="59"/>
      <c r="H7" s="59"/>
      <c r="I7" s="61">
        <f t="shared" si="0"/>
        <v>13</v>
      </c>
      <c r="J7" s="209"/>
    </row>
    <row r="8" spans="1:10" x14ac:dyDescent="0.35">
      <c r="A8" s="286">
        <v>5</v>
      </c>
      <c r="B8" s="277" t="s">
        <v>95</v>
      </c>
      <c r="C8" s="59" t="s">
        <v>91</v>
      </c>
      <c r="D8" s="59" t="s">
        <v>173</v>
      </c>
      <c r="E8" s="61">
        <v>14</v>
      </c>
      <c r="F8" s="59"/>
      <c r="G8" s="59"/>
      <c r="H8" s="59"/>
      <c r="I8" s="61">
        <f t="shared" si="0"/>
        <v>14</v>
      </c>
      <c r="J8" s="209"/>
    </row>
    <row r="9" spans="1:10" x14ac:dyDescent="0.35">
      <c r="A9" s="286">
        <v>6</v>
      </c>
      <c r="B9" s="277" t="s">
        <v>96</v>
      </c>
      <c r="C9" s="59" t="s">
        <v>91</v>
      </c>
      <c r="D9" s="59" t="s">
        <v>173</v>
      </c>
      <c r="E9" s="61">
        <v>2</v>
      </c>
      <c r="F9" s="59"/>
      <c r="G9" s="59"/>
      <c r="H9" s="59"/>
      <c r="I9" s="61">
        <f t="shared" si="0"/>
        <v>2</v>
      </c>
      <c r="J9" s="209"/>
    </row>
    <row r="10" spans="1:10" x14ac:dyDescent="0.35">
      <c r="A10" s="286">
        <v>7</v>
      </c>
      <c r="B10" s="277" t="s">
        <v>97</v>
      </c>
      <c r="C10" s="59" t="s">
        <v>91</v>
      </c>
      <c r="D10" s="59" t="s">
        <v>173</v>
      </c>
      <c r="E10" s="61">
        <v>2</v>
      </c>
      <c r="F10" s="59"/>
      <c r="G10" s="59"/>
      <c r="H10" s="59"/>
      <c r="I10" s="61">
        <f t="shared" si="0"/>
        <v>2</v>
      </c>
      <c r="J10" s="209"/>
    </row>
    <row r="11" spans="1:10" x14ac:dyDescent="0.35">
      <c r="A11" s="286">
        <v>8</v>
      </c>
      <c r="B11" s="277" t="s">
        <v>98</v>
      </c>
      <c r="C11" s="59" t="s">
        <v>91</v>
      </c>
      <c r="D11" s="59" t="s">
        <v>173</v>
      </c>
      <c r="E11" s="61">
        <v>2</v>
      </c>
      <c r="F11" s="59"/>
      <c r="G11" s="59"/>
      <c r="H11" s="59"/>
      <c r="I11" s="61">
        <f t="shared" si="0"/>
        <v>2</v>
      </c>
      <c r="J11" s="209"/>
    </row>
    <row r="12" spans="1:10" ht="51" x14ac:dyDescent="0.35">
      <c r="A12" s="286">
        <v>9</v>
      </c>
      <c r="B12" s="277" t="s">
        <v>655</v>
      </c>
      <c r="C12" s="59" t="s">
        <v>656</v>
      </c>
      <c r="D12" s="59" t="s">
        <v>173</v>
      </c>
      <c r="E12" s="61">
        <v>30</v>
      </c>
      <c r="F12" s="59"/>
      <c r="G12" s="59"/>
      <c r="H12" s="59"/>
      <c r="I12" s="61">
        <f t="shared" si="0"/>
        <v>30</v>
      </c>
      <c r="J12" s="244" t="s">
        <v>657</v>
      </c>
    </row>
    <row r="13" spans="1:10" ht="51" x14ac:dyDescent="0.35">
      <c r="A13" s="286">
        <v>10</v>
      </c>
      <c r="B13" s="277" t="s">
        <v>658</v>
      </c>
      <c r="C13" s="59" t="s">
        <v>656</v>
      </c>
      <c r="D13" s="59" t="s">
        <v>173</v>
      </c>
      <c r="E13" s="61">
        <v>30</v>
      </c>
      <c r="F13" s="59"/>
      <c r="G13" s="59"/>
      <c r="H13" s="59"/>
      <c r="I13" s="61">
        <f t="shared" si="0"/>
        <v>30</v>
      </c>
      <c r="J13" s="244" t="s">
        <v>657</v>
      </c>
    </row>
    <row r="14" spans="1:10" ht="51" x14ac:dyDescent="0.7">
      <c r="A14" s="286">
        <v>11</v>
      </c>
      <c r="B14" s="64" t="s">
        <v>659</v>
      </c>
      <c r="C14" s="59" t="s">
        <v>46</v>
      </c>
      <c r="D14" s="59" t="s">
        <v>173</v>
      </c>
      <c r="E14" s="61">
        <v>9</v>
      </c>
      <c r="F14" s="61">
        <v>8</v>
      </c>
      <c r="G14" s="59"/>
      <c r="H14" s="59"/>
      <c r="I14" s="61">
        <f>F14*E14</f>
        <v>72</v>
      </c>
      <c r="J14" s="209"/>
    </row>
    <row r="15" spans="1:10" ht="68.5" thickBot="1" x14ac:dyDescent="0.4">
      <c r="A15" s="210">
        <v>12</v>
      </c>
      <c r="B15" s="245" t="s">
        <v>660</v>
      </c>
      <c r="C15" s="174" t="s">
        <v>103</v>
      </c>
      <c r="D15" s="174" t="s">
        <v>173</v>
      </c>
      <c r="E15" s="246">
        <v>1</v>
      </c>
      <c r="F15" s="247"/>
      <c r="G15" s="174"/>
      <c r="H15" s="174"/>
      <c r="I15" s="248">
        <f>E15</f>
        <v>1</v>
      </c>
      <c r="J15" s="249"/>
    </row>
  </sheetData>
  <mergeCells count="9">
    <mergeCell ref="I2:I3"/>
    <mergeCell ref="J2:J3"/>
    <mergeCell ref="A1:J1"/>
    <mergeCell ref="A2:A3"/>
    <mergeCell ref="B2:B3"/>
    <mergeCell ref="C2:C3"/>
    <mergeCell ref="D2:D3"/>
    <mergeCell ref="E2:E3"/>
    <mergeCell ref="F2:H2"/>
  </mergeCells>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DA1D-1586-4DDE-B097-2C7FDDE9C0A8}">
  <sheetPr>
    <tabColor theme="7" tint="-0.249977111117893"/>
  </sheetPr>
  <dimension ref="A1:R66"/>
  <sheetViews>
    <sheetView view="pageBreakPreview" topLeftCell="B1" zoomScale="85" zoomScaleNormal="70" zoomScaleSheetLayoutView="85" workbookViewId="0">
      <pane ySplit="3" topLeftCell="A57" activePane="bottomLeft" state="frozen"/>
      <selection activeCell="B4" sqref="B4"/>
      <selection pane="bottomLeft" activeCell="E67" sqref="E67"/>
    </sheetView>
  </sheetViews>
  <sheetFormatPr defaultColWidth="8.7265625" defaultRowHeight="17" x14ac:dyDescent="0.7"/>
  <cols>
    <col min="1" max="1" width="5.1796875" style="74" bestFit="1" customWidth="1"/>
    <col min="2" max="2" width="48.81640625" style="74" customWidth="1"/>
    <col min="3" max="5" width="9.1796875" style="62" customWidth="1"/>
    <col min="6" max="8" width="12.1796875" style="62" customWidth="1"/>
    <col min="9" max="9" width="9.1796875" style="62" customWidth="1"/>
    <col min="10" max="10" width="16.81640625" style="67" customWidth="1"/>
    <col min="11" max="11" width="8.7265625" style="74"/>
    <col min="12" max="12" width="20.26953125" style="74" bestFit="1" customWidth="1"/>
    <col min="13" max="16384" width="8.7265625" style="74"/>
  </cols>
  <sheetData>
    <row r="1" spans="1:10" x14ac:dyDescent="0.7">
      <c r="A1" s="308" t="s">
        <v>209</v>
      </c>
      <c r="B1" s="309"/>
      <c r="C1" s="309"/>
      <c r="D1" s="309"/>
      <c r="E1" s="309"/>
      <c r="F1" s="309"/>
      <c r="G1" s="309"/>
      <c r="H1" s="309"/>
      <c r="I1" s="309"/>
      <c r="J1" s="310"/>
    </row>
    <row r="2" spans="1:10" s="60" customFormat="1" x14ac:dyDescent="0.35">
      <c r="A2" s="298" t="s">
        <v>2</v>
      </c>
      <c r="B2" s="299" t="s">
        <v>160</v>
      </c>
      <c r="C2" s="299" t="s">
        <v>161</v>
      </c>
      <c r="D2" s="299" t="s">
        <v>162</v>
      </c>
      <c r="E2" s="299" t="s">
        <v>25</v>
      </c>
      <c r="F2" s="299" t="s">
        <v>163</v>
      </c>
      <c r="G2" s="299"/>
      <c r="H2" s="299"/>
      <c r="I2" s="293" t="s">
        <v>5</v>
      </c>
      <c r="J2" s="294" t="s">
        <v>8</v>
      </c>
    </row>
    <row r="3" spans="1:10" s="60" customFormat="1" x14ac:dyDescent="0.35">
      <c r="A3" s="298"/>
      <c r="B3" s="299"/>
      <c r="C3" s="299"/>
      <c r="D3" s="299"/>
      <c r="E3" s="299"/>
      <c r="F3" s="271" t="s">
        <v>165</v>
      </c>
      <c r="G3" s="271" t="s">
        <v>166</v>
      </c>
      <c r="H3" s="271" t="s">
        <v>167</v>
      </c>
      <c r="I3" s="293"/>
      <c r="J3" s="294"/>
    </row>
    <row r="4" spans="1:10" s="60" customFormat="1" x14ac:dyDescent="0.35">
      <c r="A4" s="153" t="s">
        <v>210</v>
      </c>
      <c r="B4" s="154" t="s">
        <v>211</v>
      </c>
      <c r="C4" s="280"/>
      <c r="D4" s="280"/>
      <c r="E4" s="280"/>
      <c r="F4" s="280"/>
      <c r="G4" s="280"/>
      <c r="H4" s="280"/>
      <c r="I4" s="279"/>
      <c r="J4" s="155"/>
    </row>
    <row r="5" spans="1:10" s="60" customFormat="1" x14ac:dyDescent="0.35">
      <c r="A5" s="153">
        <v>1</v>
      </c>
      <c r="B5" s="154" t="s">
        <v>212</v>
      </c>
      <c r="C5" s="280"/>
      <c r="D5" s="280"/>
      <c r="E5" s="280"/>
      <c r="F5" s="280"/>
      <c r="G5" s="280"/>
      <c r="H5" s="280"/>
      <c r="I5" s="279"/>
      <c r="J5" s="155"/>
    </row>
    <row r="6" spans="1:10" x14ac:dyDescent="0.7">
      <c r="A6" s="156"/>
      <c r="B6" s="76" t="s">
        <v>213</v>
      </c>
      <c r="C6" s="90" t="s">
        <v>13</v>
      </c>
      <c r="D6" s="90" t="s">
        <v>173</v>
      </c>
      <c r="E6" s="90">
        <f>2*15</f>
        <v>30</v>
      </c>
      <c r="F6" s="90">
        <v>9.9499999999999993</v>
      </c>
      <c r="G6" s="90"/>
      <c r="H6" s="90">
        <v>1.02</v>
      </c>
      <c r="I6" s="90">
        <f>PRODUCT(E6:H6)</f>
        <v>304.47000000000003</v>
      </c>
      <c r="J6" s="157" t="s">
        <v>214</v>
      </c>
    </row>
    <row r="7" spans="1:10" x14ac:dyDescent="0.7">
      <c r="A7" s="156"/>
      <c r="B7" s="76" t="s">
        <v>215</v>
      </c>
      <c r="C7" s="90" t="s">
        <v>13</v>
      </c>
      <c r="D7" s="90" t="s">
        <v>173</v>
      </c>
      <c r="E7" s="90">
        <f t="shared" ref="E7:E13" si="0">2*15</f>
        <v>30</v>
      </c>
      <c r="F7" s="90">
        <v>11.8</v>
      </c>
      <c r="G7" s="90"/>
      <c r="H7" s="90">
        <v>1.02</v>
      </c>
      <c r="I7" s="90">
        <f t="shared" ref="I7:I17" si="1">PRODUCT(E7:H7)</f>
        <v>361.08</v>
      </c>
      <c r="J7" s="157" t="s">
        <v>214</v>
      </c>
    </row>
    <row r="8" spans="1:10" x14ac:dyDescent="0.7">
      <c r="A8" s="156"/>
      <c r="B8" s="76" t="s">
        <v>216</v>
      </c>
      <c r="C8" s="90" t="s">
        <v>13</v>
      </c>
      <c r="D8" s="90" t="s">
        <v>173</v>
      </c>
      <c r="E8" s="90">
        <f t="shared" si="0"/>
        <v>30</v>
      </c>
      <c r="F8" s="90">
        <v>9.9499999999999993</v>
      </c>
      <c r="G8" s="90"/>
      <c r="H8" s="90">
        <v>0.59</v>
      </c>
      <c r="I8" s="90">
        <f t="shared" si="1"/>
        <v>176.11499999999998</v>
      </c>
      <c r="J8" s="157" t="s">
        <v>214</v>
      </c>
    </row>
    <row r="9" spans="1:10" x14ac:dyDescent="0.7">
      <c r="A9" s="156"/>
      <c r="B9" s="76" t="s">
        <v>217</v>
      </c>
      <c r="C9" s="90" t="s">
        <v>13</v>
      </c>
      <c r="D9" s="90" t="s">
        <v>173</v>
      </c>
      <c r="E9" s="90">
        <f t="shared" si="0"/>
        <v>30</v>
      </c>
      <c r="F9" s="90">
        <v>1.04</v>
      </c>
      <c r="G9" s="90"/>
      <c r="H9" s="90">
        <v>0.59</v>
      </c>
      <c r="I9" s="90">
        <f t="shared" si="1"/>
        <v>18.408000000000001</v>
      </c>
      <c r="J9" s="157" t="s">
        <v>214</v>
      </c>
    </row>
    <row r="10" spans="1:10" x14ac:dyDescent="0.7">
      <c r="A10" s="156"/>
      <c r="B10" s="76" t="s">
        <v>217</v>
      </c>
      <c r="C10" s="90" t="s">
        <v>13</v>
      </c>
      <c r="D10" s="90" t="s">
        <v>173</v>
      </c>
      <c r="E10" s="90">
        <f t="shared" si="0"/>
        <v>30</v>
      </c>
      <c r="F10" s="90">
        <v>5.86</v>
      </c>
      <c r="G10" s="90"/>
      <c r="H10" s="90">
        <v>0.7</v>
      </c>
      <c r="I10" s="90">
        <f t="shared" si="1"/>
        <v>123.06</v>
      </c>
      <c r="J10" s="157" t="s">
        <v>214</v>
      </c>
    </row>
    <row r="11" spans="1:10" x14ac:dyDescent="0.7">
      <c r="A11" s="156"/>
      <c r="B11" s="76" t="s">
        <v>217</v>
      </c>
      <c r="C11" s="90" t="s">
        <v>13</v>
      </c>
      <c r="D11" s="90" t="s">
        <v>173</v>
      </c>
      <c r="E11" s="90">
        <f t="shared" si="0"/>
        <v>30</v>
      </c>
      <c r="F11" s="90">
        <v>2.13</v>
      </c>
      <c r="G11" s="90"/>
      <c r="H11" s="90">
        <v>0.63</v>
      </c>
      <c r="I11" s="90">
        <f t="shared" si="1"/>
        <v>40.256999999999998</v>
      </c>
      <c r="J11" s="157" t="s">
        <v>214</v>
      </c>
    </row>
    <row r="12" spans="1:10" x14ac:dyDescent="0.7">
      <c r="A12" s="158">
        <v>2</v>
      </c>
      <c r="B12" s="106" t="s">
        <v>218</v>
      </c>
      <c r="C12" s="90"/>
      <c r="D12" s="90"/>
      <c r="E12" s="90"/>
      <c r="F12" s="90"/>
      <c r="G12" s="90"/>
      <c r="H12" s="90"/>
      <c r="I12" s="90">
        <f>SUM(I6:I11)</f>
        <v>1023.39</v>
      </c>
      <c r="J12" s="157"/>
    </row>
    <row r="13" spans="1:10" x14ac:dyDescent="0.7">
      <c r="A13" s="158"/>
      <c r="B13" s="76" t="s">
        <v>219</v>
      </c>
      <c r="C13" s="90" t="s">
        <v>13</v>
      </c>
      <c r="D13" s="90" t="s">
        <v>173</v>
      </c>
      <c r="E13" s="90">
        <f t="shared" si="0"/>
        <v>30</v>
      </c>
      <c r="F13" s="90">
        <v>2.36</v>
      </c>
      <c r="G13" s="90"/>
      <c r="H13" s="90">
        <v>0.45</v>
      </c>
      <c r="I13" s="90">
        <f t="shared" si="1"/>
        <v>31.86</v>
      </c>
      <c r="J13" s="157"/>
    </row>
    <row r="14" spans="1:10" x14ac:dyDescent="0.7">
      <c r="A14" s="158"/>
      <c r="B14" s="76" t="s">
        <v>220</v>
      </c>
      <c r="C14" s="90" t="s">
        <v>13</v>
      </c>
      <c r="D14" s="90" t="s">
        <v>181</v>
      </c>
      <c r="E14" s="90">
        <v>1</v>
      </c>
      <c r="F14" s="90">
        <v>589</v>
      </c>
      <c r="G14" s="90"/>
      <c r="H14" s="90">
        <v>0.3</v>
      </c>
      <c r="I14" s="90">
        <f t="shared" si="1"/>
        <v>176.7</v>
      </c>
      <c r="J14" s="157"/>
    </row>
    <row r="15" spans="1:10" x14ac:dyDescent="0.7">
      <c r="A15" s="158"/>
      <c r="B15" s="76" t="s">
        <v>220</v>
      </c>
      <c r="C15" s="90" t="s">
        <v>13</v>
      </c>
      <c r="D15" s="90" t="s">
        <v>221</v>
      </c>
      <c r="E15" s="90">
        <v>1</v>
      </c>
      <c r="F15" s="90">
        <v>369</v>
      </c>
      <c r="G15" s="90"/>
      <c r="H15" s="90">
        <v>0.4</v>
      </c>
      <c r="I15" s="90">
        <f t="shared" si="1"/>
        <v>147.6</v>
      </c>
      <c r="J15" s="157"/>
    </row>
    <row r="16" spans="1:10" x14ac:dyDescent="0.7">
      <c r="A16" s="158"/>
      <c r="B16" s="76" t="s">
        <v>222</v>
      </c>
      <c r="C16" s="90" t="s">
        <v>13</v>
      </c>
      <c r="D16" s="90" t="s">
        <v>221</v>
      </c>
      <c r="E16" s="90">
        <v>1</v>
      </c>
      <c r="F16" s="90">
        <v>50</v>
      </c>
      <c r="G16" s="90"/>
      <c r="H16" s="90">
        <v>0.4</v>
      </c>
      <c r="I16" s="90">
        <f t="shared" si="1"/>
        <v>20</v>
      </c>
      <c r="J16" s="157"/>
    </row>
    <row r="17" spans="1:18" x14ac:dyDescent="0.7">
      <c r="A17" s="158"/>
      <c r="B17" s="76" t="s">
        <v>223</v>
      </c>
      <c r="C17" s="90" t="s">
        <v>13</v>
      </c>
      <c r="D17" s="90" t="s">
        <v>181</v>
      </c>
      <c r="E17" s="90">
        <v>1</v>
      </c>
      <c r="F17" s="90">
        <v>1335</v>
      </c>
      <c r="G17" s="90"/>
      <c r="H17" s="90">
        <v>0.4</v>
      </c>
      <c r="I17" s="90">
        <f t="shared" si="1"/>
        <v>534</v>
      </c>
      <c r="J17" s="157"/>
    </row>
    <row r="18" spans="1:18" x14ac:dyDescent="0.7">
      <c r="A18" s="158">
        <v>3</v>
      </c>
      <c r="B18" s="106" t="s">
        <v>224</v>
      </c>
      <c r="C18" s="90"/>
      <c r="D18" s="90"/>
      <c r="E18" s="90"/>
      <c r="F18" s="90"/>
      <c r="G18" s="90"/>
      <c r="H18" s="110"/>
      <c r="I18" s="280">
        <f>SUM(I13:I17)</f>
        <v>910.16</v>
      </c>
      <c r="J18" s="157"/>
    </row>
    <row r="19" spans="1:18" x14ac:dyDescent="0.7">
      <c r="A19" s="158"/>
      <c r="B19" s="76" t="s">
        <v>225</v>
      </c>
      <c r="C19" s="90" t="s">
        <v>13</v>
      </c>
      <c r="D19" s="90" t="s">
        <v>173</v>
      </c>
      <c r="E19" s="90">
        <v>16</v>
      </c>
      <c r="F19" s="90">
        <v>11.9</v>
      </c>
      <c r="G19" s="90"/>
      <c r="H19" s="110">
        <f>(1.23+0.83)/2</f>
        <v>1.03</v>
      </c>
      <c r="I19" s="90">
        <f>PRODUCT(E19:H19)</f>
        <v>196.11200000000002</v>
      </c>
      <c r="J19" s="157"/>
    </row>
    <row r="20" spans="1:18" x14ac:dyDescent="0.7">
      <c r="A20" s="158"/>
      <c r="B20" s="76" t="s">
        <v>226</v>
      </c>
      <c r="C20" s="90" t="s">
        <v>13</v>
      </c>
      <c r="D20" s="90" t="s">
        <v>173</v>
      </c>
      <c r="E20" s="90">
        <v>16</v>
      </c>
      <c r="F20" s="90">
        <v>5.18</v>
      </c>
      <c r="G20" s="90"/>
      <c r="H20" s="110">
        <v>1.77</v>
      </c>
      <c r="I20" s="90">
        <f>PRODUCT(E20:H20)</f>
        <v>146.69759999999999</v>
      </c>
      <c r="J20" s="157"/>
    </row>
    <row r="21" spans="1:18" x14ac:dyDescent="0.7">
      <c r="A21" s="158"/>
      <c r="B21" s="76" t="s">
        <v>227</v>
      </c>
      <c r="C21" s="90" t="s">
        <v>13</v>
      </c>
      <c r="D21" s="90" t="s">
        <v>173</v>
      </c>
      <c r="E21" s="90">
        <v>14</v>
      </c>
      <c r="F21" s="90">
        <v>11.63</v>
      </c>
      <c r="G21" s="90"/>
      <c r="H21" s="90">
        <v>0.77</v>
      </c>
      <c r="I21" s="90">
        <f>PRODUCT(E21:H21)</f>
        <v>125.37140000000002</v>
      </c>
      <c r="J21" s="157"/>
    </row>
    <row r="22" spans="1:18" x14ac:dyDescent="0.7">
      <c r="A22" s="158"/>
      <c r="B22" s="76" t="s">
        <v>228</v>
      </c>
      <c r="C22" s="90" t="s">
        <v>13</v>
      </c>
      <c r="D22" s="90" t="s">
        <v>173</v>
      </c>
      <c r="E22" s="90">
        <v>14</v>
      </c>
      <c r="F22" s="90">
        <v>4.1150000000000002</v>
      </c>
      <c r="G22" s="90"/>
      <c r="H22" s="90">
        <v>1.7</v>
      </c>
      <c r="I22" s="90">
        <f>PRODUCT(E22:H22)</f>
        <v>97.936999999999998</v>
      </c>
      <c r="J22" s="157"/>
    </row>
    <row r="23" spans="1:18" x14ac:dyDescent="0.7">
      <c r="A23" s="158">
        <v>4</v>
      </c>
      <c r="B23" s="106" t="s">
        <v>229</v>
      </c>
      <c r="C23" s="90"/>
      <c r="D23" s="90"/>
      <c r="E23" s="90"/>
      <c r="F23" s="90"/>
      <c r="G23" s="90"/>
      <c r="H23" s="90"/>
      <c r="I23" s="280">
        <f>SUM(I19:I22)</f>
        <v>566.11800000000005</v>
      </c>
      <c r="J23" s="157"/>
    </row>
    <row r="24" spans="1:18" x14ac:dyDescent="0.7">
      <c r="A24" s="156"/>
      <c r="B24" s="76" t="s">
        <v>230</v>
      </c>
      <c r="C24" s="90"/>
      <c r="D24" s="90"/>
      <c r="E24" s="90">
        <v>59</v>
      </c>
      <c r="F24" s="90">
        <v>1.27</v>
      </c>
      <c r="G24" s="90"/>
      <c r="H24" s="90">
        <v>0.24</v>
      </c>
      <c r="I24" s="90">
        <f>PRODUCT(E24:H24)</f>
        <v>17.9832</v>
      </c>
      <c r="J24" s="157"/>
    </row>
    <row r="25" spans="1:18" x14ac:dyDescent="0.7">
      <c r="A25" s="156"/>
      <c r="B25" s="76" t="s">
        <v>231</v>
      </c>
      <c r="C25" s="90"/>
      <c r="D25" s="90"/>
      <c r="E25" s="90">
        <f>2*59</f>
        <v>118</v>
      </c>
      <c r="F25" s="90">
        <v>1.27</v>
      </c>
      <c r="G25" s="90"/>
      <c r="H25" s="90">
        <v>0.87</v>
      </c>
      <c r="I25" s="90">
        <f>PRODUCT(E25:H25)</f>
        <v>130.37820000000002</v>
      </c>
      <c r="J25" s="157"/>
    </row>
    <row r="26" spans="1:18" x14ac:dyDescent="0.7">
      <c r="A26" s="156"/>
      <c r="B26" s="76" t="s">
        <v>232</v>
      </c>
      <c r="C26" s="90"/>
      <c r="D26" s="90"/>
      <c r="E26" s="90">
        <f>2*59</f>
        <v>118</v>
      </c>
      <c r="F26" s="90">
        <f>(0.5+0.23)/2</f>
        <v>0.36499999999999999</v>
      </c>
      <c r="G26" s="90"/>
      <c r="H26" s="90">
        <v>0.87</v>
      </c>
      <c r="I26" s="90">
        <f>PRODUCT(E26:H26)</f>
        <v>37.4709</v>
      </c>
      <c r="J26" s="157"/>
    </row>
    <row r="27" spans="1:18" x14ac:dyDescent="0.7">
      <c r="A27" s="159"/>
      <c r="B27" s="160"/>
      <c r="C27" s="161"/>
      <c r="D27" s="161"/>
      <c r="E27" s="161"/>
      <c r="F27" s="161"/>
      <c r="G27" s="161"/>
      <c r="H27" s="162"/>
      <c r="I27" s="90">
        <f>SUM(I24:I26)</f>
        <v>185.83230000000003</v>
      </c>
      <c r="J27" s="157"/>
    </row>
    <row r="28" spans="1:18" x14ac:dyDescent="0.7">
      <c r="A28" s="311" t="s">
        <v>233</v>
      </c>
      <c r="B28" s="312"/>
      <c r="C28" s="312"/>
      <c r="D28" s="312"/>
      <c r="E28" s="312"/>
      <c r="F28" s="312"/>
      <c r="G28" s="312"/>
      <c r="H28" s="313"/>
      <c r="I28" s="163">
        <f>I27+I23+I18+I12</f>
        <v>2685.5003000000002</v>
      </c>
      <c r="J28" s="164"/>
      <c r="R28" s="92"/>
    </row>
    <row r="29" spans="1:18" ht="34" x14ac:dyDescent="0.7">
      <c r="A29" s="165" t="s">
        <v>234</v>
      </c>
      <c r="B29" s="154" t="s">
        <v>235</v>
      </c>
      <c r="C29" s="90"/>
      <c r="D29" s="90"/>
      <c r="E29" s="90"/>
      <c r="F29" s="90"/>
      <c r="G29" s="90"/>
      <c r="H29" s="90"/>
      <c r="I29" s="90"/>
      <c r="J29" s="157"/>
    </row>
    <row r="30" spans="1:18" x14ac:dyDescent="0.7">
      <c r="A30" s="156"/>
      <c r="B30" s="89" t="s">
        <v>236</v>
      </c>
      <c r="C30" s="90" t="s">
        <v>237</v>
      </c>
      <c r="D30" s="90" t="s">
        <v>173</v>
      </c>
      <c r="E30" s="90">
        <v>14</v>
      </c>
      <c r="F30" s="90">
        <f>(3.13*2)+(3.6*2)+(2.24*2)+(1.3*6)+(3.02*2)+(1.75*2)+(1.07*2)</f>
        <v>37.42</v>
      </c>
      <c r="G30" s="90"/>
      <c r="H30" s="90"/>
      <c r="I30" s="163">
        <f>PRODUCT(E30:H30)</f>
        <v>523.88</v>
      </c>
      <c r="J30" s="157"/>
    </row>
    <row r="31" spans="1:18" x14ac:dyDescent="0.7">
      <c r="A31" s="156"/>
      <c r="B31" s="89"/>
      <c r="C31" s="90" t="s">
        <v>237</v>
      </c>
      <c r="D31" s="90" t="s">
        <v>173</v>
      </c>
      <c r="E31" s="90">
        <v>1</v>
      </c>
      <c r="F31" s="90">
        <f>(3.01*2)+(2.12*4)+(2.85*4)+(1.31*6)+(1.3*4)</f>
        <v>38.96</v>
      </c>
      <c r="G31" s="90"/>
      <c r="H31" s="90"/>
      <c r="I31" s="163">
        <f>PRODUCT(E31:H31)</f>
        <v>38.96</v>
      </c>
      <c r="J31" s="157" t="s">
        <v>238</v>
      </c>
    </row>
    <row r="32" spans="1:18" ht="51" x14ac:dyDescent="0.7">
      <c r="A32" s="165" t="s">
        <v>239</v>
      </c>
      <c r="B32" s="154" t="s">
        <v>240</v>
      </c>
      <c r="C32" s="90"/>
      <c r="D32" s="90"/>
      <c r="E32" s="90"/>
      <c r="F32" s="90"/>
      <c r="G32" s="90"/>
      <c r="H32" s="90"/>
      <c r="I32" s="90"/>
      <c r="J32" s="157"/>
    </row>
    <row r="33" spans="1:10" x14ac:dyDescent="0.7">
      <c r="A33" s="156"/>
      <c r="B33" s="89" t="s">
        <v>241</v>
      </c>
      <c r="C33" s="90" t="s">
        <v>237</v>
      </c>
      <c r="D33" s="90" t="s">
        <v>181</v>
      </c>
      <c r="E33" s="90">
        <v>1</v>
      </c>
      <c r="F33" s="90">
        <f>76+206+66+38+146+15+18</f>
        <v>565</v>
      </c>
      <c r="G33" s="90"/>
      <c r="H33" s="90"/>
      <c r="I33" s="163">
        <f>PRODUCT(E33:H33)</f>
        <v>565</v>
      </c>
      <c r="J33" s="157"/>
    </row>
    <row r="34" spans="1:10" ht="34" x14ac:dyDescent="0.7">
      <c r="A34" s="165" t="s">
        <v>242</v>
      </c>
      <c r="B34" s="154" t="s">
        <v>243</v>
      </c>
      <c r="C34" s="90"/>
      <c r="D34" s="90"/>
      <c r="E34" s="90"/>
      <c r="F34" s="90"/>
      <c r="G34" s="90"/>
      <c r="H34" s="90"/>
      <c r="I34" s="90"/>
      <c r="J34" s="157"/>
    </row>
    <row r="35" spans="1:10" x14ac:dyDescent="0.7">
      <c r="A35" s="165"/>
      <c r="B35" s="154" t="s">
        <v>244</v>
      </c>
      <c r="C35" s="90"/>
      <c r="D35" s="90"/>
      <c r="E35" s="90"/>
      <c r="F35" s="90"/>
      <c r="G35" s="90"/>
      <c r="H35" s="90"/>
      <c r="I35" s="90"/>
      <c r="J35" s="157"/>
    </row>
    <row r="36" spans="1:10" x14ac:dyDescent="0.7">
      <c r="A36" s="156"/>
      <c r="B36" s="89" t="s">
        <v>245</v>
      </c>
      <c r="C36" s="90" t="s">
        <v>13</v>
      </c>
      <c r="D36" s="90" t="s">
        <v>181</v>
      </c>
      <c r="E36" s="90">
        <v>6</v>
      </c>
      <c r="F36" s="90">
        <v>3.6</v>
      </c>
      <c r="G36" s="90"/>
      <c r="H36" s="90">
        <v>0.53</v>
      </c>
      <c r="I36" s="90">
        <f t="shared" ref="I36:I41" si="2">PRODUCT(E36:H36)</f>
        <v>11.448000000000002</v>
      </c>
      <c r="J36" s="157"/>
    </row>
    <row r="37" spans="1:10" x14ac:dyDescent="0.7">
      <c r="A37" s="156"/>
      <c r="B37" s="89" t="s">
        <v>246</v>
      </c>
      <c r="C37" s="90" t="s">
        <v>13</v>
      </c>
      <c r="D37" s="90" t="s">
        <v>181</v>
      </c>
      <c r="E37" s="90">
        <v>1</v>
      </c>
      <c r="F37" s="90">
        <v>4.2</v>
      </c>
      <c r="G37" s="90"/>
      <c r="H37" s="90">
        <v>0.53</v>
      </c>
      <c r="I37" s="90">
        <f t="shared" si="2"/>
        <v>2.2260000000000004</v>
      </c>
      <c r="J37" s="157"/>
    </row>
    <row r="38" spans="1:10" x14ac:dyDescent="0.7">
      <c r="A38" s="156"/>
      <c r="B38" s="89"/>
      <c r="C38" s="90" t="s">
        <v>13</v>
      </c>
      <c r="D38" s="90" t="s">
        <v>181</v>
      </c>
      <c r="E38" s="90">
        <v>6</v>
      </c>
      <c r="F38" s="90">
        <v>0.2</v>
      </c>
      <c r="G38" s="90"/>
      <c r="H38" s="90">
        <v>0.15</v>
      </c>
      <c r="I38" s="90">
        <f t="shared" si="2"/>
        <v>0.18000000000000002</v>
      </c>
      <c r="J38" s="157"/>
    </row>
    <row r="39" spans="1:10" x14ac:dyDescent="0.7">
      <c r="A39" s="156"/>
      <c r="B39" s="89"/>
      <c r="C39" s="90" t="s">
        <v>13</v>
      </c>
      <c r="D39" s="90" t="s">
        <v>181</v>
      </c>
      <c r="E39" s="90">
        <v>6</v>
      </c>
      <c r="F39" s="90">
        <v>5.6</v>
      </c>
      <c r="G39" s="90"/>
      <c r="H39" s="90">
        <v>0.1</v>
      </c>
      <c r="I39" s="90">
        <f t="shared" si="2"/>
        <v>3.3599999999999994</v>
      </c>
      <c r="J39" s="157"/>
    </row>
    <row r="40" spans="1:10" x14ac:dyDescent="0.7">
      <c r="A40" s="156"/>
      <c r="B40" s="89"/>
      <c r="C40" s="90" t="s">
        <v>13</v>
      </c>
      <c r="D40" s="90" t="s">
        <v>181</v>
      </c>
      <c r="E40" s="90">
        <v>5</v>
      </c>
      <c r="F40" s="90">
        <v>3.5</v>
      </c>
      <c r="G40" s="90"/>
      <c r="H40" s="90">
        <v>5</v>
      </c>
      <c r="I40" s="90">
        <f t="shared" si="2"/>
        <v>87.5</v>
      </c>
      <c r="J40" s="157"/>
    </row>
    <row r="41" spans="1:10" x14ac:dyDescent="0.7">
      <c r="A41" s="156"/>
      <c r="B41" s="89"/>
      <c r="C41" s="90" t="s">
        <v>13</v>
      </c>
      <c r="D41" s="90" t="s">
        <v>181</v>
      </c>
      <c r="E41" s="90">
        <v>5</v>
      </c>
      <c r="F41" s="90">
        <v>18</v>
      </c>
      <c r="G41" s="90"/>
      <c r="H41" s="90">
        <v>0.15</v>
      </c>
      <c r="I41" s="90">
        <f t="shared" si="2"/>
        <v>13.5</v>
      </c>
      <c r="J41" s="157"/>
    </row>
    <row r="42" spans="1:10" x14ac:dyDescent="0.7">
      <c r="A42" s="156"/>
      <c r="B42" s="89"/>
      <c r="C42" s="90"/>
      <c r="D42" s="90"/>
      <c r="E42" s="90"/>
      <c r="F42" s="90"/>
      <c r="G42" s="90"/>
      <c r="H42" s="90"/>
      <c r="I42" s="163">
        <f>SUM(I36:I41)</f>
        <v>118.214</v>
      </c>
      <c r="J42" s="157"/>
    </row>
    <row r="43" spans="1:10" x14ac:dyDescent="0.7">
      <c r="A43" s="165"/>
      <c r="B43" s="154" t="s">
        <v>247</v>
      </c>
      <c r="C43" s="90"/>
      <c r="D43" s="90"/>
      <c r="E43" s="90"/>
      <c r="F43" s="90"/>
      <c r="G43" s="90"/>
      <c r="H43" s="90"/>
      <c r="I43" s="109"/>
      <c r="J43" s="157"/>
    </row>
    <row r="44" spans="1:10" x14ac:dyDescent="0.7">
      <c r="A44" s="156"/>
      <c r="B44" s="89" t="s">
        <v>245</v>
      </c>
      <c r="C44" s="90" t="s">
        <v>13</v>
      </c>
      <c r="D44" s="90" t="s">
        <v>173</v>
      </c>
      <c r="E44" s="90">
        <v>22</v>
      </c>
      <c r="F44" s="90">
        <v>1</v>
      </c>
      <c r="G44" s="90"/>
      <c r="H44" s="90">
        <v>3.6</v>
      </c>
      <c r="I44" s="90">
        <f t="shared" ref="I44:I51" si="3">PRODUCT(E44:H44)</f>
        <v>79.2</v>
      </c>
      <c r="J44" s="157"/>
    </row>
    <row r="45" spans="1:10" x14ac:dyDescent="0.7">
      <c r="A45" s="156"/>
      <c r="B45" s="89" t="s">
        <v>246</v>
      </c>
      <c r="C45" s="90" t="s">
        <v>13</v>
      </c>
      <c r="D45" s="90" t="s">
        <v>173</v>
      </c>
      <c r="E45" s="90">
        <v>22</v>
      </c>
      <c r="F45" s="90">
        <v>1</v>
      </c>
      <c r="G45" s="90"/>
      <c r="H45" s="90">
        <v>3.32</v>
      </c>
      <c r="I45" s="90">
        <f t="shared" si="3"/>
        <v>73.039999999999992</v>
      </c>
      <c r="J45" s="157"/>
    </row>
    <row r="46" spans="1:10" x14ac:dyDescent="0.7">
      <c r="A46" s="156"/>
      <c r="B46" s="89" t="s">
        <v>248</v>
      </c>
      <c r="C46" s="90" t="s">
        <v>13</v>
      </c>
      <c r="D46" s="90" t="s">
        <v>173</v>
      </c>
      <c r="E46" s="90">
        <v>4</v>
      </c>
      <c r="F46" s="90">
        <v>1</v>
      </c>
      <c r="G46" s="90"/>
      <c r="H46" s="90">
        <v>3.4</v>
      </c>
      <c r="I46" s="90">
        <f t="shared" si="3"/>
        <v>13.6</v>
      </c>
      <c r="J46" s="157"/>
    </row>
    <row r="47" spans="1:10" x14ac:dyDescent="0.7">
      <c r="A47" s="156"/>
      <c r="B47" s="89" t="s">
        <v>249</v>
      </c>
      <c r="C47" s="90" t="s">
        <v>13</v>
      </c>
      <c r="D47" s="90" t="s">
        <v>173</v>
      </c>
      <c r="E47" s="90">
        <v>4</v>
      </c>
      <c r="F47" s="90">
        <v>6.1</v>
      </c>
      <c r="G47" s="90"/>
      <c r="H47" s="90">
        <v>1</v>
      </c>
      <c r="I47" s="90">
        <f t="shared" si="3"/>
        <v>24.4</v>
      </c>
      <c r="J47" s="157"/>
    </row>
    <row r="48" spans="1:10" x14ac:dyDescent="0.7">
      <c r="A48" s="156"/>
      <c r="B48" s="89" t="s">
        <v>250</v>
      </c>
      <c r="C48" s="90" t="s">
        <v>13</v>
      </c>
      <c r="D48" s="90" t="s">
        <v>173</v>
      </c>
      <c r="E48" s="90">
        <v>4</v>
      </c>
      <c r="F48" s="90">
        <v>30.5</v>
      </c>
      <c r="G48" s="90"/>
      <c r="H48" s="90">
        <v>1</v>
      </c>
      <c r="I48" s="90">
        <f t="shared" si="3"/>
        <v>122</v>
      </c>
      <c r="J48" s="157"/>
    </row>
    <row r="49" spans="1:17" x14ac:dyDescent="0.7">
      <c r="A49" s="156"/>
      <c r="B49" s="89" t="s">
        <v>251</v>
      </c>
      <c r="C49" s="90" t="s">
        <v>13</v>
      </c>
      <c r="D49" s="90" t="s">
        <v>173</v>
      </c>
      <c r="E49" s="90">
        <v>14</v>
      </c>
      <c r="F49" s="90">
        <v>31</v>
      </c>
      <c r="G49" s="90"/>
      <c r="H49" s="90">
        <f>0.05*4</f>
        <v>0.2</v>
      </c>
      <c r="I49" s="90">
        <f t="shared" si="3"/>
        <v>86.800000000000011</v>
      </c>
      <c r="J49" s="157"/>
    </row>
    <row r="50" spans="1:17" x14ac:dyDescent="0.7">
      <c r="A50" s="156"/>
      <c r="B50" s="89" t="s">
        <v>252</v>
      </c>
      <c r="C50" s="90" t="s">
        <v>13</v>
      </c>
      <c r="D50" s="90" t="s">
        <v>173</v>
      </c>
      <c r="E50" s="90">
        <v>4</v>
      </c>
      <c r="F50" s="90">
        <v>31</v>
      </c>
      <c r="G50" s="90"/>
      <c r="H50" s="90">
        <f>0.08*4</f>
        <v>0.32</v>
      </c>
      <c r="I50" s="90">
        <f t="shared" si="3"/>
        <v>39.68</v>
      </c>
      <c r="J50" s="157"/>
    </row>
    <row r="51" spans="1:17" x14ac:dyDescent="0.7">
      <c r="A51" s="156"/>
      <c r="B51" s="89" t="s">
        <v>253</v>
      </c>
      <c r="C51" s="90" t="s">
        <v>13</v>
      </c>
      <c r="D51" s="90" t="s">
        <v>173</v>
      </c>
      <c r="E51" s="90">
        <v>60</v>
      </c>
      <c r="F51" s="90">
        <v>6.6</v>
      </c>
      <c r="G51" s="90"/>
      <c r="H51" s="90">
        <f>0.08*4</f>
        <v>0.32</v>
      </c>
      <c r="I51" s="90">
        <f t="shared" si="3"/>
        <v>126.72</v>
      </c>
      <c r="J51" s="157"/>
    </row>
    <row r="52" spans="1:17" x14ac:dyDescent="0.7">
      <c r="A52" s="156"/>
      <c r="B52" s="89"/>
      <c r="C52" s="90"/>
      <c r="D52" s="90"/>
      <c r="E52" s="90"/>
      <c r="F52" s="90"/>
      <c r="G52" s="90"/>
      <c r="H52" s="90"/>
      <c r="I52" s="163">
        <f>SUM(I44:I51)</f>
        <v>565.44000000000005</v>
      </c>
      <c r="J52" s="157"/>
    </row>
    <row r="53" spans="1:17" x14ac:dyDescent="0.7">
      <c r="A53" s="156"/>
      <c r="B53" s="108" t="s">
        <v>254</v>
      </c>
      <c r="C53" s="90"/>
      <c r="D53" s="90"/>
      <c r="E53" s="90"/>
      <c r="F53" s="90"/>
      <c r="G53" s="90"/>
      <c r="H53" s="90"/>
      <c r="I53" s="109"/>
      <c r="J53" s="157"/>
    </row>
    <row r="54" spans="1:17" x14ac:dyDescent="0.7">
      <c r="A54" s="156"/>
      <c r="B54" s="89" t="s">
        <v>255</v>
      </c>
      <c r="C54" s="90" t="s">
        <v>13</v>
      </c>
      <c r="D54" s="90" t="s">
        <v>181</v>
      </c>
      <c r="E54" s="90">
        <v>2</v>
      </c>
      <c r="F54" s="90">
        <v>1.25</v>
      </c>
      <c r="G54" s="90"/>
      <c r="H54" s="90">
        <v>1.1000000000000001</v>
      </c>
      <c r="I54" s="90">
        <f>PRODUCT(E54:H54)</f>
        <v>2.75</v>
      </c>
      <c r="J54" s="157"/>
    </row>
    <row r="55" spans="1:17" x14ac:dyDescent="0.7">
      <c r="A55" s="156"/>
      <c r="B55" s="89" t="s">
        <v>256</v>
      </c>
      <c r="C55" s="90" t="s">
        <v>13</v>
      </c>
      <c r="D55" s="90" t="s">
        <v>181</v>
      </c>
      <c r="E55" s="90">
        <v>2</v>
      </c>
      <c r="F55" s="90">
        <v>1.1000000000000001</v>
      </c>
      <c r="G55" s="90"/>
      <c r="H55" s="90">
        <v>0.55000000000000004</v>
      </c>
      <c r="I55" s="90">
        <f>PRODUCT(E55:H55)</f>
        <v>1.2100000000000002</v>
      </c>
      <c r="J55" s="157"/>
    </row>
    <row r="56" spans="1:17" x14ac:dyDescent="0.7">
      <c r="A56" s="165"/>
      <c r="B56" s="89" t="s">
        <v>257</v>
      </c>
      <c r="C56" s="90" t="s">
        <v>13</v>
      </c>
      <c r="D56" s="90" t="s">
        <v>181</v>
      </c>
      <c r="E56" s="90">
        <v>4</v>
      </c>
      <c r="F56" s="90">
        <v>0.4</v>
      </c>
      <c r="G56" s="90"/>
      <c r="H56" s="90">
        <v>0.16</v>
      </c>
      <c r="I56" s="90">
        <f>PRODUCT(E56:H56)</f>
        <v>0.25600000000000001</v>
      </c>
      <c r="J56" s="157"/>
    </row>
    <row r="57" spans="1:17" x14ac:dyDescent="0.7">
      <c r="A57" s="156"/>
      <c r="B57" s="89" t="s">
        <v>256</v>
      </c>
      <c r="C57" s="90" t="s">
        <v>13</v>
      </c>
      <c r="D57" s="90" t="s">
        <v>181</v>
      </c>
      <c r="E57" s="90">
        <v>1</v>
      </c>
      <c r="F57" s="90">
        <v>0.6</v>
      </c>
      <c r="G57" s="90"/>
      <c r="H57" s="90">
        <v>0.1</v>
      </c>
      <c r="I57" s="90">
        <f>PRODUCT(E57:H57)</f>
        <v>0.06</v>
      </c>
      <c r="J57" s="157"/>
    </row>
    <row r="58" spans="1:17" x14ac:dyDescent="0.7">
      <c r="A58" s="156"/>
      <c r="B58" s="89" t="s">
        <v>258</v>
      </c>
      <c r="C58" s="90" t="s">
        <v>13</v>
      </c>
      <c r="D58" s="90" t="s">
        <v>181</v>
      </c>
      <c r="E58" s="90">
        <v>1</v>
      </c>
      <c r="F58" s="90">
        <v>1.25</v>
      </c>
      <c r="G58" s="90"/>
      <c r="H58" s="90">
        <v>4</v>
      </c>
      <c r="I58" s="90">
        <f>PRODUCT(E58:H58)</f>
        <v>5</v>
      </c>
      <c r="J58" s="157"/>
    </row>
    <row r="59" spans="1:17" x14ac:dyDescent="0.7">
      <c r="A59" s="156"/>
      <c r="B59" s="89"/>
      <c r="C59" s="90"/>
      <c r="D59" s="90"/>
      <c r="E59" s="90"/>
      <c r="F59" s="90"/>
      <c r="G59" s="90"/>
      <c r="H59" s="90"/>
      <c r="I59" s="90">
        <f>SUM(I54:I58)*2</f>
        <v>18.552</v>
      </c>
      <c r="J59" s="157" t="s">
        <v>259</v>
      </c>
    </row>
    <row r="60" spans="1:17" x14ac:dyDescent="0.7">
      <c r="A60" s="156"/>
      <c r="B60" s="89"/>
      <c r="C60" s="90"/>
      <c r="D60" s="90"/>
      <c r="E60" s="90"/>
      <c r="F60" s="90"/>
      <c r="G60" s="90"/>
      <c r="H60" s="90"/>
      <c r="I60" s="163">
        <f>I59+I52+I42</f>
        <v>702.20600000000013</v>
      </c>
      <c r="J60" s="157"/>
    </row>
    <row r="61" spans="1:17" x14ac:dyDescent="0.7">
      <c r="A61" s="166" t="s">
        <v>48</v>
      </c>
      <c r="B61" s="107" t="s">
        <v>260</v>
      </c>
      <c r="C61" s="59"/>
      <c r="D61" s="59"/>
      <c r="E61" s="59"/>
      <c r="F61" s="59"/>
      <c r="G61" s="59"/>
      <c r="H61" s="59"/>
      <c r="I61" s="59">
        <f>PRODUCT(E61:H61)</f>
        <v>0</v>
      </c>
      <c r="J61" s="164"/>
    </row>
    <row r="62" spans="1:17" x14ac:dyDescent="0.7">
      <c r="A62" s="167"/>
      <c r="B62" s="130" t="s">
        <v>261</v>
      </c>
      <c r="C62" s="168" t="s">
        <v>42</v>
      </c>
      <c r="D62" s="168" t="s">
        <v>173</v>
      </c>
      <c r="E62" s="168">
        <v>16</v>
      </c>
      <c r="F62" s="168"/>
      <c r="G62" s="168"/>
      <c r="H62" s="168"/>
      <c r="I62" s="169">
        <f>N66*E62</f>
        <v>75.57759999999999</v>
      </c>
      <c r="J62" s="170"/>
      <c r="L62" s="268" t="s">
        <v>262</v>
      </c>
      <c r="M62" s="268"/>
      <c r="N62" s="73">
        <f>(0.1+0.34)/2*0.59</f>
        <v>0.1298</v>
      </c>
      <c r="O62" s="73"/>
      <c r="P62" s="73" t="s">
        <v>263</v>
      </c>
      <c r="Q62" s="58">
        <f>0.54*2.8</f>
        <v>1.512</v>
      </c>
    </row>
    <row r="63" spans="1:17" x14ac:dyDescent="0.7">
      <c r="A63" s="167"/>
      <c r="B63" s="73"/>
      <c r="C63" s="59"/>
      <c r="D63" s="59"/>
      <c r="E63" s="59"/>
      <c r="F63" s="59"/>
      <c r="G63" s="304" t="s">
        <v>264</v>
      </c>
      <c r="H63" s="305"/>
      <c r="I63" s="171">
        <f>I62</f>
        <v>75.57759999999999</v>
      </c>
      <c r="J63" s="164"/>
      <c r="L63" s="303" t="s">
        <v>265</v>
      </c>
      <c r="M63" s="303"/>
      <c r="N63" s="73">
        <f>(0.6+0.6+0.34)*0.05</f>
        <v>7.7000000000000013E-2</v>
      </c>
      <c r="O63" s="73"/>
      <c r="P63" s="73"/>
      <c r="Q63" s="73"/>
    </row>
    <row r="64" spans="1:17" ht="17.5" thickBot="1" x14ac:dyDescent="0.75">
      <c r="A64" s="172"/>
      <c r="B64" s="173"/>
      <c r="C64" s="174"/>
      <c r="D64" s="174"/>
      <c r="E64" s="174"/>
      <c r="F64" s="174"/>
      <c r="G64" s="306"/>
      <c r="H64" s="307"/>
      <c r="I64" s="175"/>
      <c r="J64" s="176"/>
      <c r="L64" s="303" t="s">
        <v>266</v>
      </c>
      <c r="M64" s="303"/>
      <c r="N64" s="73">
        <f>(2*0.1298)+(2*0.077)*18</f>
        <v>3.0315999999999996</v>
      </c>
      <c r="O64" s="73"/>
      <c r="P64" s="73"/>
      <c r="Q64" s="73"/>
    </row>
    <row r="65" spans="1:17" x14ac:dyDescent="0.7">
      <c r="A65" s="67"/>
      <c r="L65" s="303"/>
      <c r="M65" s="303"/>
      <c r="N65" s="73"/>
      <c r="O65" s="73"/>
      <c r="P65" s="73"/>
      <c r="Q65" s="73"/>
    </row>
    <row r="66" spans="1:17" x14ac:dyDescent="0.7">
      <c r="A66" s="67"/>
      <c r="L66" s="303" t="s">
        <v>267</v>
      </c>
      <c r="M66" s="303"/>
      <c r="N66" s="73">
        <f>(N64+Q62)+0.18</f>
        <v>4.7235999999999994</v>
      </c>
      <c r="O66" s="73"/>
      <c r="P66" s="73"/>
      <c r="Q66" s="73"/>
    </row>
  </sheetData>
  <mergeCells count="16">
    <mergeCell ref="A1:J1"/>
    <mergeCell ref="I2:I3"/>
    <mergeCell ref="J2:J3"/>
    <mergeCell ref="A28:H28"/>
    <mergeCell ref="A2:A3"/>
    <mergeCell ref="B2:B3"/>
    <mergeCell ref="C2:C3"/>
    <mergeCell ref="D2:D3"/>
    <mergeCell ref="E2:E3"/>
    <mergeCell ref="F2:H2"/>
    <mergeCell ref="L66:M66"/>
    <mergeCell ref="G63:H63"/>
    <mergeCell ref="L63:M63"/>
    <mergeCell ref="G64:H64"/>
    <mergeCell ref="L64:M64"/>
    <mergeCell ref="L65:M65"/>
  </mergeCells>
  <printOptions horizontalCentered="1"/>
  <pageMargins left="0.39370078740157483" right="0.39370078740157483" top="0.74803149606299213" bottom="0.74803149606299213" header="0.31496062992125984" footer="0.31496062992125984"/>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4D84-D809-49D6-9C7D-8774184688B7}">
  <sheetPr>
    <tabColor theme="7" tint="-0.249977111117893"/>
  </sheetPr>
  <dimension ref="A1:N23"/>
  <sheetViews>
    <sheetView view="pageBreakPreview" zoomScale="85" zoomScaleNormal="85" zoomScaleSheetLayoutView="85" workbookViewId="0">
      <pane ySplit="3" topLeftCell="A4" activePane="bottomLeft" state="frozen"/>
      <selection activeCell="B4" sqref="B4"/>
      <selection pane="bottomLeft" activeCell="L17" sqref="L17"/>
    </sheetView>
  </sheetViews>
  <sheetFormatPr defaultColWidth="8.7265625" defaultRowHeight="17" x14ac:dyDescent="0.7"/>
  <cols>
    <col min="1" max="1" width="5.54296875" style="74" bestFit="1" customWidth="1"/>
    <col min="2" max="2" width="48.81640625" style="74" customWidth="1"/>
    <col min="3" max="4" width="8.7265625" style="74"/>
    <col min="5" max="5" width="8.1796875" style="74" bestFit="1" customWidth="1"/>
    <col min="6" max="6" width="9.453125" style="74" bestFit="1" customWidth="1"/>
    <col min="7" max="7" width="7.7265625" style="74" bestFit="1" customWidth="1"/>
    <col min="8" max="8" width="11.1796875" style="74" bestFit="1" customWidth="1"/>
    <col min="9" max="16384" width="8.7265625" style="74"/>
  </cols>
  <sheetData>
    <row r="1" spans="1:9" x14ac:dyDescent="0.7">
      <c r="A1" s="318" t="s">
        <v>268</v>
      </c>
      <c r="B1" s="318"/>
      <c r="C1" s="318"/>
      <c r="D1" s="318"/>
      <c r="E1" s="318"/>
      <c r="F1" s="318"/>
      <c r="G1" s="318"/>
      <c r="H1" s="318"/>
      <c r="I1" s="318"/>
    </row>
    <row r="2" spans="1:9" x14ac:dyDescent="0.7">
      <c r="A2" s="319" t="s">
        <v>2</v>
      </c>
      <c r="B2" s="320" t="s">
        <v>160</v>
      </c>
      <c r="C2" s="320" t="s">
        <v>161</v>
      </c>
      <c r="D2" s="320" t="s">
        <v>25</v>
      </c>
      <c r="E2" s="320" t="s">
        <v>163</v>
      </c>
      <c r="F2" s="320"/>
      <c r="G2" s="320"/>
      <c r="H2" s="319" t="s">
        <v>5</v>
      </c>
      <c r="I2" s="320" t="s">
        <v>8</v>
      </c>
    </row>
    <row r="3" spans="1:9" x14ac:dyDescent="0.7">
      <c r="A3" s="319"/>
      <c r="B3" s="320"/>
      <c r="C3" s="320"/>
      <c r="D3" s="320"/>
      <c r="E3" s="273" t="s">
        <v>165</v>
      </c>
      <c r="F3" s="273" t="s">
        <v>166</v>
      </c>
      <c r="G3" s="273" t="s">
        <v>167</v>
      </c>
      <c r="H3" s="319"/>
      <c r="I3" s="320"/>
    </row>
    <row r="4" spans="1:9" x14ac:dyDescent="0.7">
      <c r="A4" s="272">
        <v>1</v>
      </c>
      <c r="B4" s="138" t="s">
        <v>269</v>
      </c>
      <c r="C4" s="273"/>
      <c r="D4" s="273"/>
      <c r="E4" s="273"/>
      <c r="F4" s="273"/>
      <c r="G4" s="273"/>
      <c r="H4" s="272"/>
      <c r="I4" s="273"/>
    </row>
    <row r="5" spans="1:9" x14ac:dyDescent="0.7">
      <c r="A5" s="139"/>
      <c r="B5" s="140" t="s">
        <v>270</v>
      </c>
      <c r="C5" s="139" t="s">
        <v>13</v>
      </c>
      <c r="D5" s="139">
        <f>8*2</f>
        <v>16</v>
      </c>
      <c r="E5" s="139">
        <v>6</v>
      </c>
      <c r="F5" s="141">
        <f>(2*3.14*(356/2))/1000</f>
        <v>1.1178400000000002</v>
      </c>
      <c r="G5" s="139"/>
      <c r="H5" s="141">
        <f t="shared" ref="H5:H18" si="0">PRODUCT(D5:G5)</f>
        <v>107.31264000000002</v>
      </c>
      <c r="I5" s="139"/>
    </row>
    <row r="6" spans="1:9" ht="16.149999999999999" customHeight="1" x14ac:dyDescent="0.7">
      <c r="A6" s="139"/>
      <c r="B6" s="140" t="s">
        <v>271</v>
      </c>
      <c r="C6" s="139" t="s">
        <v>13</v>
      </c>
      <c r="D6" s="139">
        <f>8*2</f>
        <v>16</v>
      </c>
      <c r="E6" s="139">
        <v>0.5</v>
      </c>
      <c r="F6" s="141">
        <v>0.5</v>
      </c>
      <c r="G6" s="139"/>
      <c r="H6" s="141">
        <f t="shared" si="0"/>
        <v>4</v>
      </c>
      <c r="I6" s="139"/>
    </row>
    <row r="7" spans="1:9" ht="18" customHeight="1" x14ac:dyDescent="0.7">
      <c r="A7" s="139"/>
      <c r="B7" s="140" t="s">
        <v>272</v>
      </c>
      <c r="C7" s="139" t="s">
        <v>13</v>
      </c>
      <c r="D7" s="142">
        <v>4</v>
      </c>
      <c r="E7" s="139">
        <f>(8+4)</f>
        <v>12</v>
      </c>
      <c r="F7" s="141">
        <f>(2*3.14*(125/2))/1000</f>
        <v>0.39250000000000002</v>
      </c>
      <c r="G7" s="139"/>
      <c r="H7" s="141">
        <f t="shared" si="0"/>
        <v>18.84</v>
      </c>
      <c r="I7" s="139"/>
    </row>
    <row r="8" spans="1:9" x14ac:dyDescent="0.7">
      <c r="A8" s="139"/>
      <c r="B8" s="140"/>
      <c r="C8" s="139"/>
      <c r="D8" s="139"/>
      <c r="E8" s="315" t="s">
        <v>273</v>
      </c>
      <c r="F8" s="316"/>
      <c r="G8" s="317"/>
      <c r="H8" s="143">
        <f>SUM(H5:H7)</f>
        <v>130.15264000000002</v>
      </c>
      <c r="I8" s="139"/>
    </row>
    <row r="9" spans="1:9" x14ac:dyDescent="0.7">
      <c r="A9" s="144">
        <v>2</v>
      </c>
      <c r="B9" s="138" t="s">
        <v>274</v>
      </c>
      <c r="C9" s="139"/>
      <c r="D9" s="139"/>
      <c r="E9" s="139"/>
      <c r="F9" s="141"/>
      <c r="G9" s="139"/>
      <c r="H9" s="141"/>
      <c r="I9" s="139"/>
    </row>
    <row r="10" spans="1:9" x14ac:dyDescent="0.7">
      <c r="A10" s="139"/>
      <c r="B10" s="140" t="s">
        <v>275</v>
      </c>
      <c r="C10" s="139" t="s">
        <v>63</v>
      </c>
      <c r="D10" s="139">
        <f>7*38+8*36</f>
        <v>554</v>
      </c>
      <c r="E10" s="139">
        <v>2</v>
      </c>
      <c r="F10" s="141"/>
      <c r="G10" s="139"/>
      <c r="H10" s="141">
        <f t="shared" si="0"/>
        <v>1108</v>
      </c>
      <c r="I10" s="139"/>
    </row>
    <row r="11" spans="1:9" x14ac:dyDescent="0.7">
      <c r="A11" s="139"/>
      <c r="B11" s="140" t="s">
        <v>276</v>
      </c>
      <c r="C11" s="139" t="s">
        <v>63</v>
      </c>
      <c r="D11" s="145">
        <f>8*38</f>
        <v>304</v>
      </c>
      <c r="E11" s="139">
        <v>0.8</v>
      </c>
      <c r="F11" s="141"/>
      <c r="G11" s="145"/>
      <c r="H11" s="141">
        <f t="shared" si="0"/>
        <v>243.20000000000002</v>
      </c>
      <c r="I11" s="139"/>
    </row>
    <row r="12" spans="1:9" x14ac:dyDescent="0.7">
      <c r="A12" s="144">
        <v>3</v>
      </c>
      <c r="B12" s="138" t="s">
        <v>277</v>
      </c>
      <c r="C12" s="139"/>
      <c r="D12" s="145"/>
      <c r="E12" s="145"/>
      <c r="F12" s="146"/>
      <c r="G12" s="145"/>
      <c r="H12" s="141"/>
      <c r="I12" s="139"/>
    </row>
    <row r="13" spans="1:9" x14ac:dyDescent="0.7">
      <c r="A13" s="139"/>
      <c r="B13" s="140" t="s">
        <v>278</v>
      </c>
      <c r="C13" s="139" t="s">
        <v>63</v>
      </c>
      <c r="D13" s="145">
        <f>7*140+2*42</f>
        <v>1064</v>
      </c>
      <c r="E13" s="139">
        <v>2</v>
      </c>
      <c r="F13" s="141"/>
      <c r="G13" s="145"/>
      <c r="H13" s="141">
        <f t="shared" si="0"/>
        <v>2128</v>
      </c>
      <c r="I13" s="139"/>
    </row>
    <row r="14" spans="1:9" x14ac:dyDescent="0.7">
      <c r="A14" s="144">
        <v>4</v>
      </c>
      <c r="B14" s="138" t="s">
        <v>279</v>
      </c>
      <c r="C14" s="139"/>
      <c r="D14" s="145"/>
      <c r="E14" s="145"/>
      <c r="F14" s="146"/>
      <c r="G14" s="145"/>
      <c r="H14" s="141"/>
      <c r="I14" s="139"/>
    </row>
    <row r="15" spans="1:9" x14ac:dyDescent="0.7">
      <c r="A15" s="139"/>
      <c r="B15" s="140" t="s">
        <v>280</v>
      </c>
      <c r="C15" s="139" t="s">
        <v>63</v>
      </c>
      <c r="D15" s="139">
        <f>6*38+7*37</f>
        <v>487</v>
      </c>
      <c r="E15" s="139">
        <v>2</v>
      </c>
      <c r="F15" s="141"/>
      <c r="G15" s="145"/>
      <c r="H15" s="141">
        <f t="shared" si="0"/>
        <v>974</v>
      </c>
      <c r="I15" s="139"/>
    </row>
    <row r="16" spans="1:9" x14ac:dyDescent="0.7">
      <c r="A16" s="139"/>
      <c r="B16" s="140" t="s">
        <v>281</v>
      </c>
      <c r="C16" s="139" t="s">
        <v>63</v>
      </c>
      <c r="D16" s="145">
        <v>12</v>
      </c>
      <c r="E16" s="139">
        <v>76</v>
      </c>
      <c r="F16" s="141"/>
      <c r="G16" s="145"/>
      <c r="H16" s="141">
        <f t="shared" si="0"/>
        <v>912</v>
      </c>
      <c r="I16" s="139"/>
    </row>
    <row r="17" spans="1:14" x14ac:dyDescent="0.7">
      <c r="A17" s="142"/>
      <c r="B17" s="147" t="s">
        <v>282</v>
      </c>
      <c r="C17" s="139" t="s">
        <v>63</v>
      </c>
      <c r="D17" s="148">
        <f>2*2</f>
        <v>4</v>
      </c>
      <c r="E17" s="142">
        <v>76</v>
      </c>
      <c r="F17" s="149"/>
      <c r="G17" s="148"/>
      <c r="H17" s="149">
        <f t="shared" si="0"/>
        <v>304</v>
      </c>
      <c r="I17" s="139"/>
      <c r="N17" s="150"/>
    </row>
    <row r="18" spans="1:14" ht="16.149999999999999" customHeight="1" x14ac:dyDescent="0.7">
      <c r="A18" s="142"/>
      <c r="B18" s="147" t="s">
        <v>283</v>
      </c>
      <c r="C18" s="139" t="s">
        <v>63</v>
      </c>
      <c r="D18" s="148">
        <f>(76/1)*2</f>
        <v>152</v>
      </c>
      <c r="E18" s="142">
        <v>1.2</v>
      </c>
      <c r="F18" s="149"/>
      <c r="G18" s="148"/>
      <c r="H18" s="149">
        <f t="shared" si="0"/>
        <v>182.4</v>
      </c>
      <c r="I18" s="139"/>
    </row>
    <row r="19" spans="1:14" x14ac:dyDescent="0.7">
      <c r="A19" s="314" t="s">
        <v>284</v>
      </c>
      <c r="B19" s="314"/>
      <c r="C19" s="314"/>
      <c r="D19" s="314"/>
      <c r="E19" s="314"/>
      <c r="F19" s="314"/>
      <c r="G19" s="314"/>
      <c r="H19" s="251">
        <v>0</v>
      </c>
      <c r="I19" s="151"/>
      <c r="N19" s="152"/>
    </row>
    <row r="20" spans="1:14" x14ac:dyDescent="0.7">
      <c r="N20" s="152"/>
    </row>
    <row r="21" spans="1:14" x14ac:dyDescent="0.7">
      <c r="N21" s="150"/>
    </row>
    <row r="23" spans="1:14" x14ac:dyDescent="0.7">
      <c r="N23" s="150"/>
    </row>
  </sheetData>
  <mergeCells count="10">
    <mergeCell ref="A19:G19"/>
    <mergeCell ref="E8:G8"/>
    <mergeCell ref="A1:I1"/>
    <mergeCell ref="A2:A3"/>
    <mergeCell ref="B2:B3"/>
    <mergeCell ref="C2:C3"/>
    <mergeCell ref="D2:D3"/>
    <mergeCell ref="E2:G2"/>
    <mergeCell ref="H2:H3"/>
    <mergeCell ref="I2:I3"/>
  </mergeCell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3C7D6-4617-4930-AF82-40B4BC124582}">
  <sheetPr>
    <tabColor theme="7" tint="-0.249977111117893"/>
  </sheetPr>
  <dimension ref="A1:J11"/>
  <sheetViews>
    <sheetView view="pageBreakPreview" zoomScale="85" zoomScaleNormal="100" zoomScaleSheetLayoutView="85" workbookViewId="0">
      <pane ySplit="4" topLeftCell="A5" activePane="bottomLeft" state="frozen"/>
      <selection activeCell="B4" sqref="B4"/>
      <selection pane="bottomLeft" activeCell="I9" sqref="I9"/>
    </sheetView>
  </sheetViews>
  <sheetFormatPr defaultColWidth="8.7265625" defaultRowHeight="17" x14ac:dyDescent="0.7"/>
  <cols>
    <col min="1" max="1" width="5.1796875" style="74" bestFit="1" customWidth="1"/>
    <col min="2" max="2" width="16.26953125" style="74" customWidth="1"/>
    <col min="3" max="5" width="9.1796875" style="62" customWidth="1"/>
    <col min="6" max="8" width="12.1796875" style="62" customWidth="1"/>
    <col min="9" max="9" width="10.54296875" style="62" customWidth="1"/>
    <col min="10" max="10" width="14.1796875" style="74" customWidth="1"/>
    <col min="11" max="16384" width="8.7265625" style="74"/>
  </cols>
  <sheetData>
    <row r="1" spans="1:10" ht="24" customHeight="1" x14ac:dyDescent="0.7">
      <c r="A1" s="321" t="s">
        <v>285</v>
      </c>
      <c r="B1" s="322"/>
      <c r="C1" s="322"/>
      <c r="D1" s="322"/>
      <c r="E1" s="322"/>
      <c r="F1" s="322"/>
      <c r="G1" s="322"/>
      <c r="H1" s="322"/>
      <c r="I1" s="322"/>
      <c r="J1" s="323"/>
    </row>
    <row r="2" spans="1:10" ht="17.5" thickBot="1" x14ac:dyDescent="0.75">
      <c r="A2" s="132"/>
      <c r="J2" s="133"/>
    </row>
    <row r="3" spans="1:10" s="60" customFormat="1" x14ac:dyDescent="0.35">
      <c r="A3" s="331" t="s">
        <v>2</v>
      </c>
      <c r="B3" s="333" t="s">
        <v>160</v>
      </c>
      <c r="C3" s="333" t="s">
        <v>161</v>
      </c>
      <c r="D3" s="333" t="s">
        <v>162</v>
      </c>
      <c r="E3" s="333" t="s">
        <v>25</v>
      </c>
      <c r="F3" s="333" t="s">
        <v>163</v>
      </c>
      <c r="G3" s="333"/>
      <c r="H3" s="333"/>
      <c r="I3" s="327" t="s">
        <v>5</v>
      </c>
      <c r="J3" s="329" t="s">
        <v>8</v>
      </c>
    </row>
    <row r="4" spans="1:10" s="60" customFormat="1" ht="17.5" thickBot="1" x14ac:dyDescent="0.4">
      <c r="A4" s="332"/>
      <c r="B4" s="334"/>
      <c r="C4" s="334"/>
      <c r="D4" s="334"/>
      <c r="E4" s="334"/>
      <c r="F4" s="274" t="s">
        <v>165</v>
      </c>
      <c r="G4" s="274" t="s">
        <v>166</v>
      </c>
      <c r="H4" s="274" t="s">
        <v>167</v>
      </c>
      <c r="I4" s="328"/>
      <c r="J4" s="330"/>
    </row>
    <row r="5" spans="1:10" x14ac:dyDescent="0.7">
      <c r="A5" s="126">
        <v>1</v>
      </c>
      <c r="B5" s="134" t="s">
        <v>286</v>
      </c>
      <c r="C5" s="282"/>
      <c r="D5" s="282"/>
      <c r="E5" s="282"/>
      <c r="F5" s="282"/>
      <c r="G5" s="282"/>
      <c r="H5" s="282"/>
      <c r="I5" s="282"/>
      <c r="J5" s="126"/>
    </row>
    <row r="6" spans="1:10" x14ac:dyDescent="0.7">
      <c r="A6" s="90" t="s">
        <v>10</v>
      </c>
      <c r="B6" s="89" t="s">
        <v>287</v>
      </c>
      <c r="C6" s="90" t="s">
        <v>13</v>
      </c>
      <c r="D6" s="90" t="s">
        <v>288</v>
      </c>
      <c r="E6" s="90">
        <v>1</v>
      </c>
      <c r="F6" s="110">
        <f>4.5+2.9+3.9</f>
        <v>11.3</v>
      </c>
      <c r="G6" s="110"/>
      <c r="H6" s="110">
        <v>2.82</v>
      </c>
      <c r="I6" s="135">
        <f>PRODUCT(E6:H6)</f>
        <v>31.866</v>
      </c>
      <c r="J6" s="88" t="s">
        <v>289</v>
      </c>
    </row>
    <row r="7" spans="1:10" ht="16.899999999999999" customHeight="1" x14ac:dyDescent="0.7">
      <c r="A7" s="89">
        <v>2</v>
      </c>
      <c r="B7" s="136" t="s">
        <v>290</v>
      </c>
      <c r="C7" s="90"/>
      <c r="D7" s="90"/>
      <c r="E7" s="90"/>
      <c r="F7" s="90"/>
      <c r="G7" s="90"/>
      <c r="H7" s="90"/>
      <c r="I7" s="90"/>
      <c r="J7" s="89"/>
    </row>
    <row r="8" spans="1:10" ht="23.5" customHeight="1" x14ac:dyDescent="0.7">
      <c r="A8" s="88" t="s">
        <v>10</v>
      </c>
      <c r="B8" s="89" t="s">
        <v>291</v>
      </c>
      <c r="C8" s="90" t="s">
        <v>13</v>
      </c>
      <c r="D8" s="90"/>
      <c r="E8" s="90">
        <v>1</v>
      </c>
      <c r="F8" s="90">
        <v>3.7250000000000001</v>
      </c>
      <c r="G8" s="90"/>
      <c r="H8" s="90">
        <v>2.82</v>
      </c>
      <c r="I8" s="135">
        <f>PRODUCT(E8:H8)</f>
        <v>10.5045</v>
      </c>
      <c r="J8" s="88" t="s">
        <v>289</v>
      </c>
    </row>
    <row r="9" spans="1:10" x14ac:dyDescent="0.7">
      <c r="A9" s="324"/>
      <c r="B9" s="325"/>
      <c r="C9" s="325"/>
      <c r="D9" s="325"/>
      <c r="E9" s="325"/>
      <c r="F9" s="325"/>
      <c r="G9" s="325"/>
      <c r="H9" s="326"/>
      <c r="I9" s="137">
        <f>SUM(I6:I8)</f>
        <v>42.3705</v>
      </c>
      <c r="J9" s="89"/>
    </row>
    <row r="11" spans="1:10" x14ac:dyDescent="0.7">
      <c r="B11" s="92"/>
    </row>
  </sheetData>
  <mergeCells count="10">
    <mergeCell ref="A1:J1"/>
    <mergeCell ref="A9:H9"/>
    <mergeCell ref="I3:I4"/>
    <mergeCell ref="J3:J4"/>
    <mergeCell ref="A3:A4"/>
    <mergeCell ref="B3:B4"/>
    <mergeCell ref="C3:C4"/>
    <mergeCell ref="D3:D4"/>
    <mergeCell ref="E3:E4"/>
    <mergeCell ref="F3:H3"/>
  </mergeCells>
  <pageMargins left="0.32" right="0.3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B9E1-B2C4-4DE1-B80A-549144E677A0}">
  <sheetPr>
    <tabColor theme="7" tint="-0.249977111117893"/>
  </sheetPr>
  <dimension ref="A1:M56"/>
  <sheetViews>
    <sheetView view="pageBreakPreview" zoomScale="80" zoomScaleNormal="100" zoomScaleSheetLayoutView="80" workbookViewId="0">
      <pane ySplit="3" topLeftCell="A57" activePane="bottomLeft" state="frozen"/>
      <selection activeCell="B4" sqref="B4"/>
      <selection pane="bottomLeft" activeCell="I56" sqref="I56"/>
    </sheetView>
  </sheetViews>
  <sheetFormatPr defaultColWidth="8.7265625" defaultRowHeight="17" x14ac:dyDescent="0.7"/>
  <cols>
    <col min="1" max="1" width="5.1796875" style="62" bestFit="1" customWidth="1"/>
    <col min="2" max="2" width="22.26953125" style="74" customWidth="1"/>
    <col min="3" max="4" width="8.7265625" style="67"/>
    <col min="5" max="5" width="8.7265625" style="62"/>
    <col min="6" max="8" width="12.1796875" style="62" customWidth="1"/>
    <col min="9" max="9" width="11.54296875" style="62" bestFit="1" customWidth="1"/>
    <col min="10" max="10" width="19.81640625" style="67" customWidth="1"/>
    <col min="11" max="16384" width="8.7265625" style="74"/>
  </cols>
  <sheetData>
    <row r="1" spans="1:13" ht="20.25" customHeight="1" thickBot="1" x14ac:dyDescent="0.75">
      <c r="A1" s="337" t="s">
        <v>292</v>
      </c>
      <c r="B1" s="338"/>
      <c r="C1" s="338"/>
      <c r="D1" s="338"/>
      <c r="E1" s="338"/>
      <c r="F1" s="338"/>
      <c r="G1" s="338"/>
      <c r="H1" s="338"/>
      <c r="I1" s="338"/>
      <c r="J1" s="339"/>
    </row>
    <row r="2" spans="1:13" s="60" customFormat="1" ht="13.5" customHeight="1" x14ac:dyDescent="0.35">
      <c r="A2" s="331" t="s">
        <v>2</v>
      </c>
      <c r="B2" s="333" t="s">
        <v>160</v>
      </c>
      <c r="C2" s="340" t="s">
        <v>161</v>
      </c>
      <c r="D2" s="333" t="s">
        <v>162</v>
      </c>
      <c r="E2" s="333" t="s">
        <v>25</v>
      </c>
      <c r="F2" s="333" t="s">
        <v>163</v>
      </c>
      <c r="G2" s="333"/>
      <c r="H2" s="333"/>
      <c r="I2" s="327" t="s">
        <v>5</v>
      </c>
      <c r="J2" s="329" t="s">
        <v>8</v>
      </c>
    </row>
    <row r="3" spans="1:13" s="60" customFormat="1" ht="17.5" thickBot="1" x14ac:dyDescent="0.4">
      <c r="A3" s="332"/>
      <c r="B3" s="334"/>
      <c r="C3" s="341"/>
      <c r="D3" s="334"/>
      <c r="E3" s="334"/>
      <c r="F3" s="274" t="s">
        <v>165</v>
      </c>
      <c r="G3" s="274" t="s">
        <v>166</v>
      </c>
      <c r="H3" s="274" t="s">
        <v>167</v>
      </c>
      <c r="I3" s="328"/>
      <c r="J3" s="330"/>
    </row>
    <row r="4" spans="1:13" x14ac:dyDescent="0.7">
      <c r="A4" s="127" t="s">
        <v>210</v>
      </c>
      <c r="B4" s="128" t="s">
        <v>293</v>
      </c>
      <c r="C4" s="129"/>
      <c r="D4" s="129"/>
      <c r="E4" s="129"/>
      <c r="F4" s="129"/>
      <c r="G4" s="129"/>
      <c r="H4" s="129"/>
      <c r="I4" s="127"/>
      <c r="J4" s="129"/>
    </row>
    <row r="5" spans="1:13" x14ac:dyDescent="0.7">
      <c r="A5" s="88">
        <v>1</v>
      </c>
      <c r="B5" s="108" t="s">
        <v>294</v>
      </c>
      <c r="C5" s="90"/>
      <c r="D5" s="90"/>
      <c r="E5" s="90"/>
      <c r="F5" s="90"/>
      <c r="G5" s="90"/>
      <c r="H5" s="90"/>
      <c r="I5" s="90"/>
      <c r="J5" s="88"/>
    </row>
    <row r="6" spans="1:13" x14ac:dyDescent="0.7">
      <c r="A6" s="88"/>
      <c r="B6" s="89" t="s">
        <v>295</v>
      </c>
      <c r="C6" s="90"/>
      <c r="D6" s="90"/>
      <c r="E6" s="90">
        <v>1</v>
      </c>
      <c r="F6" s="90">
        <v>1.23</v>
      </c>
      <c r="G6" s="90"/>
      <c r="H6" s="90">
        <v>1.1599999999999999</v>
      </c>
      <c r="I6" s="90">
        <f>PRODUCT(E6:H6)*20%</f>
        <v>0.28536</v>
      </c>
      <c r="J6" s="88" t="s">
        <v>296</v>
      </c>
    </row>
    <row r="7" spans="1:13" x14ac:dyDescent="0.7">
      <c r="A7" s="88">
        <v>2</v>
      </c>
      <c r="B7" s="108" t="s">
        <v>297</v>
      </c>
      <c r="C7" s="90"/>
      <c r="D7" s="90"/>
      <c r="E7" s="90"/>
      <c r="F7" s="90"/>
      <c r="G7" s="90"/>
      <c r="H7" s="90"/>
      <c r="I7" s="90"/>
      <c r="J7" s="88"/>
    </row>
    <row r="8" spans="1:13" x14ac:dyDescent="0.7">
      <c r="A8" s="88"/>
      <c r="B8" s="89" t="s">
        <v>295</v>
      </c>
      <c r="C8" s="90"/>
      <c r="D8" s="90"/>
      <c r="E8" s="90">
        <v>1</v>
      </c>
      <c r="F8" s="90">
        <v>1.25</v>
      </c>
      <c r="G8" s="90"/>
      <c r="H8" s="90">
        <v>1.19</v>
      </c>
      <c r="I8" s="90">
        <f>PRODUCT(E8:H8)*20%</f>
        <v>0.29749999999999999</v>
      </c>
      <c r="J8" s="88" t="s">
        <v>296</v>
      </c>
    </row>
    <row r="9" spans="1:13" x14ac:dyDescent="0.7">
      <c r="A9" s="88">
        <v>3</v>
      </c>
      <c r="B9" s="108" t="s">
        <v>298</v>
      </c>
      <c r="C9" s="90"/>
      <c r="D9" s="90"/>
      <c r="E9" s="90"/>
      <c r="F9" s="90"/>
      <c r="G9" s="90"/>
      <c r="H9" s="90"/>
      <c r="I9" s="90"/>
      <c r="J9" s="88"/>
    </row>
    <row r="10" spans="1:13" x14ac:dyDescent="0.7">
      <c r="A10" s="88"/>
      <c r="B10" s="89" t="s">
        <v>295</v>
      </c>
      <c r="C10" s="90"/>
      <c r="D10" s="90"/>
      <c r="E10" s="90">
        <v>2</v>
      </c>
      <c r="F10" s="90">
        <v>0.6</v>
      </c>
      <c r="G10" s="90"/>
      <c r="H10" s="90">
        <v>1.24</v>
      </c>
      <c r="I10" s="90">
        <f>PRODUCT(E10:H10)*20%</f>
        <v>0.29760000000000003</v>
      </c>
      <c r="J10" s="88" t="s">
        <v>296</v>
      </c>
    </row>
    <row r="11" spans="1:13" x14ac:dyDescent="0.7">
      <c r="A11" s="88">
        <v>4</v>
      </c>
      <c r="B11" s="108" t="s">
        <v>291</v>
      </c>
      <c r="C11" s="90"/>
      <c r="D11" s="90"/>
      <c r="E11" s="90"/>
      <c r="F11" s="90"/>
      <c r="G11" s="90"/>
      <c r="H11" s="90"/>
      <c r="I11" s="90"/>
      <c r="J11" s="88"/>
    </row>
    <row r="12" spans="1:13" x14ac:dyDescent="0.7">
      <c r="A12" s="88"/>
      <c r="B12" s="89" t="s">
        <v>299</v>
      </c>
      <c r="C12" s="90" t="s">
        <v>13</v>
      </c>
      <c r="D12" s="90"/>
      <c r="E12" s="90">
        <v>1</v>
      </c>
      <c r="F12" s="90">
        <v>1.2450000000000001</v>
      </c>
      <c r="G12" s="90"/>
      <c r="H12" s="90">
        <v>1.2949999999999999</v>
      </c>
      <c r="I12" s="90">
        <f>PRODUCT(E12:H12)*20%</f>
        <v>0.32245500000000005</v>
      </c>
      <c r="J12" s="88" t="s">
        <v>296</v>
      </c>
    </row>
    <row r="13" spans="1:13" x14ac:dyDescent="0.7">
      <c r="A13" s="88"/>
      <c r="B13" s="89" t="s">
        <v>300</v>
      </c>
      <c r="C13" s="90" t="s">
        <v>13</v>
      </c>
      <c r="D13" s="90"/>
      <c r="E13" s="90">
        <v>1</v>
      </c>
      <c r="F13" s="90">
        <v>1.29</v>
      </c>
      <c r="G13" s="90"/>
      <c r="H13" s="90">
        <v>1.21</v>
      </c>
      <c r="I13" s="90">
        <f>PRODUCT(E13:H13)*20%</f>
        <v>0.31218000000000001</v>
      </c>
      <c r="J13" s="88" t="s">
        <v>296</v>
      </c>
    </row>
    <row r="14" spans="1:13" x14ac:dyDescent="0.7">
      <c r="A14" s="88"/>
      <c r="B14" s="89" t="s">
        <v>300</v>
      </c>
      <c r="C14" s="90" t="s">
        <v>13</v>
      </c>
      <c r="D14" s="90"/>
      <c r="E14" s="90">
        <v>1</v>
      </c>
      <c r="F14" s="90">
        <v>1.2749999999999999</v>
      </c>
      <c r="G14" s="90"/>
      <c r="H14" s="90">
        <v>1.31</v>
      </c>
      <c r="I14" s="90">
        <f>PRODUCT(E14:H14)*20%</f>
        <v>0.33405000000000001</v>
      </c>
      <c r="J14" s="88" t="s">
        <v>296</v>
      </c>
    </row>
    <row r="15" spans="1:13" x14ac:dyDescent="0.7">
      <c r="A15" s="88">
        <v>5</v>
      </c>
      <c r="B15" s="108" t="s">
        <v>301</v>
      </c>
      <c r="C15" s="90"/>
      <c r="D15" s="90"/>
      <c r="E15" s="90"/>
      <c r="F15" s="90"/>
      <c r="G15" s="90"/>
      <c r="H15" s="90"/>
      <c r="I15" s="90"/>
      <c r="J15" s="88"/>
      <c r="M15" s="130" t="s">
        <v>296</v>
      </c>
    </row>
    <row r="16" spans="1:13" x14ac:dyDescent="0.7">
      <c r="A16" s="88"/>
      <c r="B16" s="89" t="s">
        <v>302</v>
      </c>
      <c r="C16" s="90" t="s">
        <v>13</v>
      </c>
      <c r="D16" s="90"/>
      <c r="E16" s="90">
        <v>2</v>
      </c>
      <c r="F16" s="90">
        <v>0.55000000000000004</v>
      </c>
      <c r="G16" s="90"/>
      <c r="H16" s="90">
        <v>0.57999999999999996</v>
      </c>
      <c r="I16" s="90">
        <f>PRODUCT(E16:H16)*20%</f>
        <v>0.12760000000000002</v>
      </c>
      <c r="J16" s="88" t="s">
        <v>296</v>
      </c>
    </row>
    <row r="17" spans="1:10" x14ac:dyDescent="0.7">
      <c r="A17" s="88">
        <v>6</v>
      </c>
      <c r="B17" s="108" t="s">
        <v>303</v>
      </c>
      <c r="C17" s="90"/>
      <c r="D17" s="90"/>
      <c r="E17" s="90"/>
      <c r="F17" s="90"/>
      <c r="G17" s="90"/>
      <c r="H17" s="90"/>
      <c r="I17" s="90"/>
      <c r="J17" s="88"/>
    </row>
    <row r="18" spans="1:10" x14ac:dyDescent="0.7">
      <c r="A18" s="88"/>
      <c r="B18" s="89" t="s">
        <v>295</v>
      </c>
      <c r="C18" s="90" t="s">
        <v>13</v>
      </c>
      <c r="D18" s="90"/>
      <c r="E18" s="90">
        <v>1</v>
      </c>
      <c r="F18" s="90">
        <v>1.7949999999999999</v>
      </c>
      <c r="G18" s="90"/>
      <c r="H18" s="90">
        <v>1.1950000000000001</v>
      </c>
      <c r="I18" s="90">
        <f>PRODUCT(E18:H18)*20%</f>
        <v>0.42900500000000003</v>
      </c>
      <c r="J18" s="88" t="s">
        <v>296</v>
      </c>
    </row>
    <row r="19" spans="1:10" x14ac:dyDescent="0.7">
      <c r="A19" s="88" t="s">
        <v>234</v>
      </c>
      <c r="B19" s="108" t="s">
        <v>304</v>
      </c>
      <c r="C19" s="90"/>
      <c r="D19" s="90"/>
      <c r="E19" s="90"/>
      <c r="F19" s="90"/>
      <c r="G19" s="90"/>
      <c r="H19" s="90"/>
      <c r="I19" s="90"/>
      <c r="J19" s="88"/>
    </row>
    <row r="20" spans="1:10" x14ac:dyDescent="0.7">
      <c r="A20" s="88">
        <v>1</v>
      </c>
      <c r="B20" s="108" t="s">
        <v>294</v>
      </c>
      <c r="C20" s="90"/>
      <c r="D20" s="90"/>
      <c r="E20" s="90"/>
      <c r="F20" s="90"/>
      <c r="G20" s="90"/>
      <c r="H20" s="90"/>
      <c r="I20" s="90"/>
      <c r="J20" s="88"/>
    </row>
    <row r="21" spans="1:10" x14ac:dyDescent="0.7">
      <c r="A21" s="88"/>
      <c r="B21" s="89" t="s">
        <v>295</v>
      </c>
      <c r="C21" s="90" t="s">
        <v>13</v>
      </c>
      <c r="D21" s="90"/>
      <c r="E21" s="90">
        <v>1</v>
      </c>
      <c r="F21" s="90">
        <v>1.3</v>
      </c>
      <c r="G21" s="90"/>
      <c r="H21" s="90">
        <v>1.18</v>
      </c>
      <c r="I21" s="90">
        <f>PRODUCT(E21:H21)*20%</f>
        <v>0.30680000000000002</v>
      </c>
      <c r="J21" s="88" t="s">
        <v>296</v>
      </c>
    </row>
    <row r="22" spans="1:10" x14ac:dyDescent="0.7">
      <c r="A22" s="88">
        <v>2</v>
      </c>
      <c r="B22" s="108" t="s">
        <v>297</v>
      </c>
      <c r="C22" s="90"/>
      <c r="D22" s="90"/>
      <c r="E22" s="90"/>
      <c r="F22" s="90"/>
      <c r="G22" s="90"/>
      <c r="H22" s="90"/>
      <c r="I22" s="90"/>
      <c r="J22" s="88"/>
    </row>
    <row r="23" spans="1:10" x14ac:dyDescent="0.7">
      <c r="A23" s="88"/>
      <c r="B23" s="89" t="s">
        <v>295</v>
      </c>
      <c r="C23" s="90" t="s">
        <v>13</v>
      </c>
      <c r="D23" s="90"/>
      <c r="E23" s="90">
        <v>1</v>
      </c>
      <c r="F23" s="90">
        <v>1.3</v>
      </c>
      <c r="G23" s="90"/>
      <c r="H23" s="90">
        <v>1.2050000000000001</v>
      </c>
      <c r="I23" s="90">
        <f>PRODUCT(E23:H23)*20%</f>
        <v>0.31330000000000008</v>
      </c>
      <c r="J23" s="88" t="s">
        <v>296</v>
      </c>
    </row>
    <row r="24" spans="1:10" x14ac:dyDescent="0.7">
      <c r="A24" s="88">
        <v>3</v>
      </c>
      <c r="B24" s="108" t="s">
        <v>298</v>
      </c>
      <c r="C24" s="90"/>
      <c r="D24" s="90"/>
      <c r="E24" s="90"/>
      <c r="F24" s="90"/>
      <c r="G24" s="90"/>
      <c r="H24" s="90"/>
      <c r="I24" s="90"/>
      <c r="J24" s="88"/>
    </row>
    <row r="25" spans="1:10" x14ac:dyDescent="0.7">
      <c r="A25" s="88"/>
      <c r="B25" s="89" t="s">
        <v>295</v>
      </c>
      <c r="C25" s="90" t="s">
        <v>13</v>
      </c>
      <c r="D25" s="90"/>
      <c r="E25" s="90">
        <v>1</v>
      </c>
      <c r="F25" s="90">
        <v>1.78</v>
      </c>
      <c r="G25" s="90"/>
      <c r="H25" s="90">
        <v>1.2</v>
      </c>
      <c r="I25" s="90">
        <f>PRODUCT(E25:H25)*20%</f>
        <v>0.42720000000000002</v>
      </c>
      <c r="J25" s="88" t="s">
        <v>296</v>
      </c>
    </row>
    <row r="26" spans="1:10" x14ac:dyDescent="0.7">
      <c r="A26" s="88">
        <v>4</v>
      </c>
      <c r="B26" s="108" t="s">
        <v>305</v>
      </c>
      <c r="C26" s="90"/>
      <c r="D26" s="90"/>
      <c r="E26" s="90"/>
      <c r="F26" s="90"/>
      <c r="G26" s="90"/>
      <c r="H26" s="90"/>
      <c r="I26" s="90"/>
      <c r="J26" s="88"/>
    </row>
    <row r="27" spans="1:10" x14ac:dyDescent="0.7">
      <c r="A27" s="88"/>
      <c r="B27" s="89" t="s">
        <v>299</v>
      </c>
      <c r="C27" s="90" t="s">
        <v>13</v>
      </c>
      <c r="D27" s="90"/>
      <c r="E27" s="90">
        <v>1</v>
      </c>
      <c r="F27" s="90">
        <v>1.7749999999999999</v>
      </c>
      <c r="G27" s="90"/>
      <c r="H27" s="90">
        <v>1.1599999999999999</v>
      </c>
      <c r="I27" s="90">
        <f>PRODUCT(E27:H27)*20%</f>
        <v>0.41179999999999994</v>
      </c>
      <c r="J27" s="88" t="s">
        <v>296</v>
      </c>
    </row>
    <row r="28" spans="1:10" x14ac:dyDescent="0.7">
      <c r="A28" s="88"/>
      <c r="B28" s="89" t="s">
        <v>300</v>
      </c>
      <c r="C28" s="90" t="s">
        <v>13</v>
      </c>
      <c r="D28" s="90"/>
      <c r="E28" s="90">
        <v>1</v>
      </c>
      <c r="F28" s="90">
        <v>1.27</v>
      </c>
      <c r="G28" s="90"/>
      <c r="H28" s="90">
        <v>1.1950000000000001</v>
      </c>
      <c r="I28" s="90">
        <f>PRODUCT(E28:H28)*20%</f>
        <v>0.30353000000000008</v>
      </c>
      <c r="J28" s="88" t="s">
        <v>296</v>
      </c>
    </row>
    <row r="29" spans="1:10" x14ac:dyDescent="0.7">
      <c r="A29" s="88">
        <v>5</v>
      </c>
      <c r="B29" s="108" t="s">
        <v>306</v>
      </c>
      <c r="C29" s="90"/>
      <c r="D29" s="90"/>
      <c r="E29" s="90"/>
      <c r="F29" s="90"/>
      <c r="G29" s="90"/>
      <c r="H29" s="90"/>
      <c r="I29" s="90"/>
      <c r="J29" s="88"/>
    </row>
    <row r="30" spans="1:10" x14ac:dyDescent="0.7">
      <c r="A30" s="88"/>
      <c r="B30" s="89" t="s">
        <v>295</v>
      </c>
      <c r="C30" s="90" t="s">
        <v>13</v>
      </c>
      <c r="D30" s="90"/>
      <c r="E30" s="90">
        <v>1</v>
      </c>
      <c r="F30" s="90">
        <v>1.2749999999999999</v>
      </c>
      <c r="G30" s="90"/>
      <c r="H30" s="90">
        <v>1.1950000000000001</v>
      </c>
      <c r="I30" s="90">
        <f>PRODUCT(E30:H30)*20%</f>
        <v>0.30472500000000002</v>
      </c>
      <c r="J30" s="88" t="s">
        <v>296</v>
      </c>
    </row>
    <row r="31" spans="1:10" x14ac:dyDescent="0.7">
      <c r="A31" s="88">
        <v>6</v>
      </c>
      <c r="B31" s="108" t="s">
        <v>307</v>
      </c>
      <c r="C31" s="90"/>
      <c r="D31" s="90"/>
      <c r="E31" s="90"/>
      <c r="F31" s="90"/>
      <c r="G31" s="90"/>
      <c r="H31" s="90"/>
      <c r="I31" s="90"/>
      <c r="J31" s="88"/>
    </row>
    <row r="32" spans="1:10" x14ac:dyDescent="0.7">
      <c r="A32" s="88"/>
      <c r="B32" s="89" t="s">
        <v>299</v>
      </c>
      <c r="C32" s="90" t="s">
        <v>13</v>
      </c>
      <c r="D32" s="90"/>
      <c r="E32" s="90">
        <v>1</v>
      </c>
      <c r="F32" s="90">
        <v>1.4850000000000001</v>
      </c>
      <c r="G32" s="90"/>
      <c r="H32" s="90">
        <v>1.2</v>
      </c>
      <c r="I32" s="90">
        <f>PRODUCT(E32:H32)*20%</f>
        <v>0.35640000000000005</v>
      </c>
      <c r="J32" s="88" t="s">
        <v>296</v>
      </c>
    </row>
    <row r="33" spans="1:10" x14ac:dyDescent="0.7">
      <c r="A33" s="88"/>
      <c r="B33" s="89" t="s">
        <v>300</v>
      </c>
      <c r="C33" s="90" t="s">
        <v>13</v>
      </c>
      <c r="D33" s="90"/>
      <c r="E33" s="90">
        <v>1</v>
      </c>
      <c r="F33" s="90">
        <v>1.49</v>
      </c>
      <c r="G33" s="90"/>
      <c r="H33" s="90">
        <v>1.175</v>
      </c>
      <c r="I33" s="90">
        <f>PRODUCT(E33:H33)*20%</f>
        <v>0.35015000000000002</v>
      </c>
      <c r="J33" s="88" t="s">
        <v>296</v>
      </c>
    </row>
    <row r="34" spans="1:10" x14ac:dyDescent="0.7">
      <c r="A34" s="88">
        <v>7</v>
      </c>
      <c r="B34" s="108" t="s">
        <v>308</v>
      </c>
      <c r="C34" s="90" t="s">
        <v>13</v>
      </c>
      <c r="D34" s="90"/>
      <c r="E34" s="90">
        <v>1</v>
      </c>
      <c r="F34" s="90">
        <v>1.32</v>
      </c>
      <c r="G34" s="90"/>
      <c r="H34" s="90">
        <v>1.7</v>
      </c>
      <c r="I34" s="90">
        <f>PRODUCT(E34:H34)*20%</f>
        <v>0.44880000000000009</v>
      </c>
      <c r="J34" s="88" t="s">
        <v>296</v>
      </c>
    </row>
    <row r="35" spans="1:10" x14ac:dyDescent="0.7">
      <c r="A35" s="88" t="s">
        <v>239</v>
      </c>
      <c r="B35" s="108" t="s">
        <v>309</v>
      </c>
      <c r="C35" s="90"/>
      <c r="D35" s="90"/>
      <c r="E35" s="90"/>
      <c r="F35" s="90"/>
      <c r="G35" s="90"/>
      <c r="H35" s="90"/>
      <c r="I35" s="90"/>
      <c r="J35" s="88"/>
    </row>
    <row r="36" spans="1:10" x14ac:dyDescent="0.7">
      <c r="A36" s="88"/>
      <c r="B36" s="89" t="s">
        <v>295</v>
      </c>
      <c r="C36" s="88" t="s">
        <v>13</v>
      </c>
      <c r="D36" s="88"/>
      <c r="E36" s="90">
        <v>1</v>
      </c>
      <c r="F36" s="90">
        <v>0.87</v>
      </c>
      <c r="G36" s="90"/>
      <c r="H36" s="90">
        <v>1.05</v>
      </c>
      <c r="I36" s="90">
        <f>PRODUCT(E36:H36)*20%</f>
        <v>0.1827</v>
      </c>
      <c r="J36" s="88" t="s">
        <v>296</v>
      </c>
    </row>
    <row r="37" spans="1:10" x14ac:dyDescent="0.7">
      <c r="A37" s="88" t="s">
        <v>242</v>
      </c>
      <c r="B37" s="108" t="s">
        <v>310</v>
      </c>
      <c r="C37" s="88"/>
      <c r="D37" s="88"/>
      <c r="E37" s="90"/>
      <c r="F37" s="90"/>
      <c r="G37" s="90"/>
      <c r="H37" s="90"/>
      <c r="I37" s="90"/>
      <c r="J37" s="88"/>
    </row>
    <row r="38" spans="1:10" x14ac:dyDescent="0.7">
      <c r="A38" s="88"/>
      <c r="B38" s="89" t="s">
        <v>295</v>
      </c>
      <c r="C38" s="88" t="s">
        <v>13</v>
      </c>
      <c r="D38" s="88"/>
      <c r="E38" s="90">
        <v>1</v>
      </c>
      <c r="F38" s="90">
        <v>1.175</v>
      </c>
      <c r="G38" s="90"/>
      <c r="H38" s="90">
        <v>0.98</v>
      </c>
      <c r="I38" s="90">
        <f>PRODUCT(E38:H38)*20%</f>
        <v>0.2303</v>
      </c>
      <c r="J38" s="88" t="s">
        <v>296</v>
      </c>
    </row>
    <row r="39" spans="1:10" x14ac:dyDescent="0.7">
      <c r="A39" s="88"/>
      <c r="B39" s="89" t="s">
        <v>295</v>
      </c>
      <c r="C39" s="88" t="s">
        <v>13</v>
      </c>
      <c r="D39" s="88"/>
      <c r="E39" s="90">
        <v>2</v>
      </c>
      <c r="F39" s="90">
        <v>1.175</v>
      </c>
      <c r="G39" s="90"/>
      <c r="H39" s="90">
        <v>1.02</v>
      </c>
      <c r="I39" s="90">
        <f>PRODUCT(E39:H39)*20%</f>
        <v>0.47940000000000005</v>
      </c>
      <c r="J39" s="88" t="s">
        <v>296</v>
      </c>
    </row>
    <row r="40" spans="1:10" x14ac:dyDescent="0.7">
      <c r="A40" s="88" t="s">
        <v>48</v>
      </c>
      <c r="B40" s="108" t="s">
        <v>311</v>
      </c>
      <c r="C40" s="88"/>
      <c r="D40" s="88"/>
      <c r="E40" s="90"/>
      <c r="F40" s="90"/>
      <c r="G40" s="90"/>
      <c r="H40" s="90"/>
      <c r="I40" s="90"/>
      <c r="J40" s="88"/>
    </row>
    <row r="41" spans="1:10" x14ac:dyDescent="0.7">
      <c r="A41" s="88"/>
      <c r="B41" s="89" t="s">
        <v>295</v>
      </c>
      <c r="C41" s="88" t="s">
        <v>13</v>
      </c>
      <c r="D41" s="88"/>
      <c r="E41" s="90">
        <v>1</v>
      </c>
      <c r="F41" s="90">
        <v>1.1599999999999999</v>
      </c>
      <c r="G41" s="90"/>
      <c r="H41" s="90">
        <v>1.145</v>
      </c>
      <c r="I41" s="90">
        <f>PRODUCT(E41:H41)*20%</f>
        <v>0.26563999999999999</v>
      </c>
      <c r="J41" s="88" t="s">
        <v>296</v>
      </c>
    </row>
    <row r="42" spans="1:10" x14ac:dyDescent="0.7">
      <c r="A42" s="88" t="s">
        <v>73</v>
      </c>
      <c r="B42" s="108" t="s">
        <v>312</v>
      </c>
      <c r="C42" s="88"/>
      <c r="D42" s="88"/>
      <c r="E42" s="90"/>
      <c r="F42" s="90"/>
      <c r="G42" s="90"/>
      <c r="H42" s="90"/>
      <c r="I42" s="90"/>
      <c r="J42" s="88"/>
    </row>
    <row r="43" spans="1:10" x14ac:dyDescent="0.7">
      <c r="A43" s="88"/>
      <c r="B43" s="89" t="s">
        <v>302</v>
      </c>
      <c r="C43" s="88" t="s">
        <v>13</v>
      </c>
      <c r="D43" s="88"/>
      <c r="E43" s="90">
        <v>4</v>
      </c>
      <c r="F43" s="90">
        <v>0.53500000000000003</v>
      </c>
      <c r="G43" s="90"/>
      <c r="H43" s="90">
        <v>0.56000000000000005</v>
      </c>
      <c r="I43" s="90">
        <f>PRODUCT(E43:H43)*20%</f>
        <v>0.23968000000000003</v>
      </c>
      <c r="J43" s="88" t="s">
        <v>296</v>
      </c>
    </row>
    <row r="44" spans="1:10" x14ac:dyDescent="0.7">
      <c r="A44" s="88"/>
      <c r="B44" s="89" t="s">
        <v>295</v>
      </c>
      <c r="C44" s="88" t="s">
        <v>13</v>
      </c>
      <c r="D44" s="88"/>
      <c r="E44" s="90">
        <v>1</v>
      </c>
      <c r="F44" s="90">
        <v>1.135</v>
      </c>
      <c r="G44" s="90"/>
      <c r="H44" s="90">
        <v>1.145</v>
      </c>
      <c r="I44" s="90">
        <f>PRODUCT(E44:H44)*20%</f>
        <v>0.25991500000000001</v>
      </c>
      <c r="J44" s="88" t="s">
        <v>296</v>
      </c>
    </row>
    <row r="45" spans="1:10" x14ac:dyDescent="0.7">
      <c r="A45" s="88"/>
      <c r="B45" s="89" t="s">
        <v>295</v>
      </c>
      <c r="C45" s="88" t="s">
        <v>13</v>
      </c>
      <c r="D45" s="88"/>
      <c r="E45" s="90">
        <v>1</v>
      </c>
      <c r="F45" s="90">
        <v>1.175</v>
      </c>
      <c r="G45" s="90"/>
      <c r="H45" s="90">
        <v>1.2050000000000001</v>
      </c>
      <c r="I45" s="90">
        <f>PRODUCT(E45:H45)*20%</f>
        <v>0.28317500000000007</v>
      </c>
      <c r="J45" s="88" t="s">
        <v>296</v>
      </c>
    </row>
    <row r="46" spans="1:10" x14ac:dyDescent="0.7">
      <c r="A46" s="88"/>
      <c r="B46" s="89" t="s">
        <v>295</v>
      </c>
      <c r="C46" s="88" t="s">
        <v>13</v>
      </c>
      <c r="D46" s="88"/>
      <c r="E46" s="90">
        <v>2</v>
      </c>
      <c r="F46" s="90">
        <v>0.59</v>
      </c>
      <c r="G46" s="90"/>
      <c r="H46" s="90">
        <v>1.2649999999999999</v>
      </c>
      <c r="I46" s="90">
        <f>PRODUCT(E46:H46)*20%</f>
        <v>0.29853999999999997</v>
      </c>
      <c r="J46" s="88" t="s">
        <v>296</v>
      </c>
    </row>
    <row r="47" spans="1:10" x14ac:dyDescent="0.7">
      <c r="A47" s="88" t="s">
        <v>79</v>
      </c>
      <c r="B47" s="108" t="s">
        <v>313</v>
      </c>
      <c r="C47" s="88"/>
      <c r="D47" s="88"/>
      <c r="E47" s="90"/>
      <c r="F47" s="90"/>
      <c r="G47" s="90"/>
      <c r="H47" s="90"/>
      <c r="I47" s="90"/>
      <c r="J47" s="88"/>
    </row>
    <row r="48" spans="1:10" x14ac:dyDescent="0.7">
      <c r="A48" s="88"/>
      <c r="B48" s="89" t="s">
        <v>295</v>
      </c>
      <c r="C48" s="88" t="s">
        <v>13</v>
      </c>
      <c r="D48" s="88"/>
      <c r="E48" s="90">
        <v>1</v>
      </c>
      <c r="F48" s="90">
        <v>1.2</v>
      </c>
      <c r="G48" s="90"/>
      <c r="H48" s="90">
        <v>1.1100000000000001</v>
      </c>
      <c r="I48" s="90">
        <f t="shared" ref="I48:I55" si="0">PRODUCT(E48:H48)*20%</f>
        <v>0.26640000000000003</v>
      </c>
      <c r="J48" s="88" t="s">
        <v>296</v>
      </c>
    </row>
    <row r="49" spans="1:10" x14ac:dyDescent="0.7">
      <c r="A49" s="88" t="s">
        <v>82</v>
      </c>
      <c r="B49" s="108" t="s">
        <v>314</v>
      </c>
      <c r="C49" s="88"/>
      <c r="D49" s="88"/>
      <c r="E49" s="90"/>
      <c r="F49" s="90"/>
      <c r="G49" s="90"/>
      <c r="H49" s="90"/>
      <c r="I49" s="90"/>
      <c r="J49" s="88"/>
    </row>
    <row r="50" spans="1:10" x14ac:dyDescent="0.7">
      <c r="A50" s="88"/>
      <c r="B50" s="89" t="s">
        <v>299</v>
      </c>
      <c r="C50" s="88" t="s">
        <v>13</v>
      </c>
      <c r="D50" s="88"/>
      <c r="E50" s="90">
        <v>1</v>
      </c>
      <c r="F50" s="90">
        <v>1.165</v>
      </c>
      <c r="G50" s="90"/>
      <c r="H50" s="90">
        <v>1.05</v>
      </c>
      <c r="I50" s="90">
        <f t="shared" si="0"/>
        <v>0.24465000000000003</v>
      </c>
      <c r="J50" s="88" t="s">
        <v>296</v>
      </c>
    </row>
    <row r="51" spans="1:10" x14ac:dyDescent="0.7">
      <c r="A51" s="88"/>
      <c r="B51" s="89" t="s">
        <v>315</v>
      </c>
      <c r="C51" s="88" t="s">
        <v>13</v>
      </c>
      <c r="D51" s="88"/>
      <c r="E51" s="90">
        <v>1</v>
      </c>
      <c r="F51" s="90">
        <v>1.18</v>
      </c>
      <c r="G51" s="90"/>
      <c r="H51" s="90">
        <v>1.02</v>
      </c>
      <c r="I51" s="90">
        <f t="shared" si="0"/>
        <v>0.24072000000000002</v>
      </c>
      <c r="J51" s="88" t="s">
        <v>296</v>
      </c>
    </row>
    <row r="52" spans="1:10" x14ac:dyDescent="0.7">
      <c r="A52" s="88"/>
      <c r="B52" s="89" t="s">
        <v>300</v>
      </c>
      <c r="C52" s="88" t="s">
        <v>13</v>
      </c>
      <c r="D52" s="88"/>
      <c r="E52" s="90">
        <v>2</v>
      </c>
      <c r="F52" s="90">
        <v>0.85</v>
      </c>
      <c r="G52" s="90"/>
      <c r="H52" s="90">
        <v>1.05</v>
      </c>
      <c r="I52" s="90">
        <f t="shared" si="0"/>
        <v>0.35699999999999998</v>
      </c>
      <c r="J52" s="88" t="s">
        <v>296</v>
      </c>
    </row>
    <row r="53" spans="1:10" x14ac:dyDescent="0.7">
      <c r="A53" s="88" t="s">
        <v>82</v>
      </c>
      <c r="B53" s="108" t="s">
        <v>316</v>
      </c>
      <c r="C53" s="88"/>
      <c r="D53" s="88"/>
      <c r="E53" s="90"/>
      <c r="F53" s="90"/>
      <c r="G53" s="90"/>
      <c r="H53" s="90"/>
      <c r="I53" s="90"/>
      <c r="J53" s="88"/>
    </row>
    <row r="54" spans="1:10" x14ac:dyDescent="0.7">
      <c r="A54" s="88"/>
      <c r="B54" s="89" t="s">
        <v>315</v>
      </c>
      <c r="C54" s="88" t="s">
        <v>13</v>
      </c>
      <c r="D54" s="88" t="s">
        <v>181</v>
      </c>
      <c r="E54" s="90">
        <v>1</v>
      </c>
      <c r="F54" s="90">
        <v>1.175</v>
      </c>
      <c r="G54" s="90"/>
      <c r="H54" s="90">
        <v>1.03</v>
      </c>
      <c r="I54" s="90">
        <f t="shared" si="0"/>
        <v>0.24205000000000002</v>
      </c>
      <c r="J54" s="88" t="s">
        <v>296</v>
      </c>
    </row>
    <row r="55" spans="1:10" ht="17.5" thickBot="1" x14ac:dyDescent="0.75">
      <c r="A55" s="88"/>
      <c r="B55" s="89" t="s">
        <v>299</v>
      </c>
      <c r="C55" s="88" t="s">
        <v>13</v>
      </c>
      <c r="D55" s="88" t="s">
        <v>181</v>
      </c>
      <c r="E55" s="90">
        <v>1</v>
      </c>
      <c r="F55" s="90">
        <v>1.1850000000000001</v>
      </c>
      <c r="G55" s="281"/>
      <c r="H55" s="281">
        <v>1.0149999999999999</v>
      </c>
      <c r="I55" s="281">
        <f t="shared" si="0"/>
        <v>0.24055499999999999</v>
      </c>
      <c r="J55" s="88" t="s">
        <v>296</v>
      </c>
    </row>
    <row r="56" spans="1:10" ht="17.5" thickBot="1" x14ac:dyDescent="0.75">
      <c r="A56" s="100"/>
      <c r="B56" s="109"/>
      <c r="C56" s="101"/>
      <c r="D56" s="101"/>
      <c r="E56" s="100"/>
      <c r="F56" s="100"/>
      <c r="G56" s="335" t="s">
        <v>317</v>
      </c>
      <c r="H56" s="336"/>
      <c r="I56" s="131">
        <f>SUM(I4:I55)</f>
        <v>9.4591800000000017</v>
      </c>
      <c r="J56" s="101"/>
    </row>
  </sheetData>
  <mergeCells count="10">
    <mergeCell ref="G56:H56"/>
    <mergeCell ref="A1:J1"/>
    <mergeCell ref="A2:A3"/>
    <mergeCell ref="J2:J3"/>
    <mergeCell ref="B2:B3"/>
    <mergeCell ref="C2:C3"/>
    <mergeCell ref="D2:D3"/>
    <mergeCell ref="E2:E3"/>
    <mergeCell ref="F2:H2"/>
    <mergeCell ref="I2:I3"/>
  </mergeCells>
  <pageMargins left="0.36" right="0.27" top="0.41" bottom="0.33"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CEA3-F843-4B81-A6D2-05FC9020B8CF}">
  <sheetPr>
    <tabColor theme="7" tint="-0.249977111117893"/>
  </sheetPr>
  <dimension ref="A1:J20"/>
  <sheetViews>
    <sheetView view="pageBreakPreview" zoomScaleNormal="100" zoomScaleSheetLayoutView="100" workbookViewId="0">
      <pane ySplit="3" topLeftCell="A4" activePane="bottomLeft" state="frozen"/>
      <selection activeCell="B4" sqref="B4"/>
      <selection pane="bottomLeft" activeCell="I7" sqref="I7"/>
    </sheetView>
  </sheetViews>
  <sheetFormatPr defaultColWidth="8.7265625" defaultRowHeight="17" x14ac:dyDescent="0.7"/>
  <cols>
    <col min="1" max="1" width="5.1796875" style="62" bestFit="1" customWidth="1"/>
    <col min="2" max="2" width="15.81640625" style="74" customWidth="1"/>
    <col min="3" max="3" width="9.1796875" style="62" customWidth="1"/>
    <col min="4" max="4" width="9.1796875" style="67" customWidth="1"/>
    <col min="5" max="5" width="8.7265625" style="67"/>
    <col min="6" max="6" width="12.1796875" style="67" customWidth="1"/>
    <col min="7" max="7" width="9.1796875" style="67" customWidth="1"/>
    <col min="8" max="8" width="12.1796875" style="67" customWidth="1"/>
    <col min="9" max="9" width="9.1796875" style="62" customWidth="1"/>
    <col min="10" max="10" width="11" style="67" bestFit="1" customWidth="1"/>
    <col min="11" max="16384" width="8.7265625" style="74"/>
  </cols>
  <sheetData>
    <row r="1" spans="1:10" ht="21" customHeight="1" thickBot="1" x14ac:dyDescent="0.75">
      <c r="A1" s="342" t="s">
        <v>28</v>
      </c>
      <c r="B1" s="343"/>
      <c r="C1" s="343"/>
      <c r="D1" s="343"/>
      <c r="E1" s="343"/>
      <c r="F1" s="343"/>
      <c r="G1" s="343"/>
      <c r="H1" s="343"/>
      <c r="I1" s="343"/>
      <c r="J1" s="344"/>
    </row>
    <row r="2" spans="1:10" s="60" customFormat="1" x14ac:dyDescent="0.35">
      <c r="A2" s="351" t="s">
        <v>2</v>
      </c>
      <c r="B2" s="353" t="s">
        <v>160</v>
      </c>
      <c r="C2" s="353" t="s">
        <v>161</v>
      </c>
      <c r="D2" s="353" t="s">
        <v>162</v>
      </c>
      <c r="E2" s="353" t="s">
        <v>25</v>
      </c>
      <c r="F2" s="353" t="s">
        <v>163</v>
      </c>
      <c r="G2" s="353"/>
      <c r="H2" s="353"/>
      <c r="I2" s="347" t="s">
        <v>5</v>
      </c>
      <c r="J2" s="349" t="s">
        <v>8</v>
      </c>
    </row>
    <row r="3" spans="1:10" s="60" customFormat="1" ht="17.5" thickBot="1" x14ac:dyDescent="0.4">
      <c r="A3" s="352"/>
      <c r="B3" s="354"/>
      <c r="C3" s="354"/>
      <c r="D3" s="354"/>
      <c r="E3" s="354"/>
      <c r="F3" s="275" t="s">
        <v>165</v>
      </c>
      <c r="G3" s="275" t="s">
        <v>166</v>
      </c>
      <c r="H3" s="275" t="s">
        <v>167</v>
      </c>
      <c r="I3" s="348"/>
      <c r="J3" s="350"/>
    </row>
    <row r="4" spans="1:10" x14ac:dyDescent="0.7">
      <c r="A4" s="196">
        <v>1</v>
      </c>
      <c r="B4" s="124" t="s">
        <v>293</v>
      </c>
      <c r="C4" s="282"/>
      <c r="D4" s="125"/>
      <c r="E4" s="282"/>
      <c r="F4" s="125"/>
      <c r="G4" s="125"/>
      <c r="H4" s="125"/>
      <c r="I4" s="282"/>
      <c r="J4" s="197"/>
    </row>
    <row r="5" spans="1:10" x14ac:dyDescent="0.7">
      <c r="A5" s="191" t="s">
        <v>10</v>
      </c>
      <c r="B5" s="89" t="s">
        <v>318</v>
      </c>
      <c r="C5" s="90" t="s">
        <v>25</v>
      </c>
      <c r="D5" s="88" t="s">
        <v>288</v>
      </c>
      <c r="E5" s="90">
        <v>1</v>
      </c>
      <c r="F5" s="88">
        <v>1.3</v>
      </c>
      <c r="G5" s="88"/>
      <c r="H5" s="88">
        <v>1.2</v>
      </c>
      <c r="I5" s="90">
        <f>E5*F5*H5</f>
        <v>1.56</v>
      </c>
      <c r="J5" s="157"/>
    </row>
    <row r="6" spans="1:10" x14ac:dyDescent="0.7">
      <c r="A6" s="191" t="s">
        <v>16</v>
      </c>
      <c r="B6" s="89" t="s">
        <v>319</v>
      </c>
      <c r="C6" s="90" t="s">
        <v>25</v>
      </c>
      <c r="D6" s="88" t="s">
        <v>288</v>
      </c>
      <c r="E6" s="90">
        <v>1</v>
      </c>
      <c r="F6" s="88">
        <v>1.3</v>
      </c>
      <c r="G6" s="88"/>
      <c r="H6" s="88">
        <v>1.2</v>
      </c>
      <c r="I6" s="90">
        <f t="shared" ref="I6:I18" si="0">E6*F6*H6</f>
        <v>1.56</v>
      </c>
      <c r="J6" s="157"/>
    </row>
    <row r="7" spans="1:10" x14ac:dyDescent="0.7">
      <c r="A7" s="191" t="s">
        <v>29</v>
      </c>
      <c r="B7" s="89" t="s">
        <v>320</v>
      </c>
      <c r="C7" s="90" t="s">
        <v>25</v>
      </c>
      <c r="D7" s="88" t="s">
        <v>288</v>
      </c>
      <c r="E7" s="90">
        <v>2</v>
      </c>
      <c r="F7" s="88">
        <v>0.6</v>
      </c>
      <c r="G7" s="88"/>
      <c r="H7" s="88">
        <v>1.3</v>
      </c>
      <c r="I7" s="90">
        <f t="shared" si="0"/>
        <v>1.56</v>
      </c>
      <c r="J7" s="157"/>
    </row>
    <row r="8" spans="1:10" x14ac:dyDescent="0.7">
      <c r="A8" s="191" t="s">
        <v>36</v>
      </c>
      <c r="B8" s="89" t="s">
        <v>321</v>
      </c>
      <c r="C8" s="90" t="s">
        <v>25</v>
      </c>
      <c r="D8" s="88" t="s">
        <v>288</v>
      </c>
      <c r="E8" s="90">
        <v>1</v>
      </c>
      <c r="F8" s="88">
        <v>0.6</v>
      </c>
      <c r="G8" s="88"/>
      <c r="H8" s="88">
        <v>1.3</v>
      </c>
      <c r="I8" s="90">
        <f t="shared" si="0"/>
        <v>0.78</v>
      </c>
      <c r="J8" s="157"/>
    </row>
    <row r="9" spans="1:10" x14ac:dyDescent="0.7">
      <c r="A9" s="191"/>
      <c r="B9" s="89"/>
      <c r="C9" s="90" t="s">
        <v>25</v>
      </c>
      <c r="D9" s="88" t="s">
        <v>288</v>
      </c>
      <c r="E9" s="90">
        <v>2</v>
      </c>
      <c r="F9" s="88">
        <v>1.2</v>
      </c>
      <c r="G9" s="88"/>
      <c r="H9" s="88">
        <v>1.3</v>
      </c>
      <c r="I9" s="90">
        <f t="shared" si="0"/>
        <v>3.12</v>
      </c>
      <c r="J9" s="157"/>
    </row>
    <row r="10" spans="1:10" x14ac:dyDescent="0.7">
      <c r="A10" s="191">
        <v>1</v>
      </c>
      <c r="B10" s="108" t="s">
        <v>304</v>
      </c>
      <c r="C10" s="90"/>
      <c r="D10" s="88"/>
      <c r="E10" s="90"/>
      <c r="F10" s="88"/>
      <c r="G10" s="88"/>
      <c r="H10" s="88"/>
      <c r="I10" s="90"/>
      <c r="J10" s="157"/>
    </row>
    <row r="11" spans="1:10" x14ac:dyDescent="0.7">
      <c r="A11" s="191" t="s">
        <v>10</v>
      </c>
      <c r="B11" s="89" t="s">
        <v>318</v>
      </c>
      <c r="C11" s="90" t="s">
        <v>25</v>
      </c>
      <c r="D11" s="88" t="s">
        <v>288</v>
      </c>
      <c r="E11" s="90">
        <v>1</v>
      </c>
      <c r="F11" s="88">
        <v>1.4</v>
      </c>
      <c r="G11" s="88"/>
      <c r="H11" s="88">
        <v>1.2</v>
      </c>
      <c r="I11" s="90">
        <f t="shared" si="0"/>
        <v>1.68</v>
      </c>
      <c r="J11" s="157"/>
    </row>
    <row r="12" spans="1:10" x14ac:dyDescent="0.7">
      <c r="A12" s="191" t="s">
        <v>16</v>
      </c>
      <c r="B12" s="89" t="s">
        <v>319</v>
      </c>
      <c r="C12" s="90" t="s">
        <v>25</v>
      </c>
      <c r="D12" s="88" t="s">
        <v>288</v>
      </c>
      <c r="E12" s="90">
        <v>1</v>
      </c>
      <c r="F12" s="88">
        <v>1.4</v>
      </c>
      <c r="G12" s="88"/>
      <c r="H12" s="88">
        <v>1.3</v>
      </c>
      <c r="I12" s="90">
        <f t="shared" si="0"/>
        <v>1.8199999999999998</v>
      </c>
      <c r="J12" s="157"/>
    </row>
    <row r="13" spans="1:10" x14ac:dyDescent="0.7">
      <c r="A13" s="191" t="s">
        <v>29</v>
      </c>
      <c r="B13" s="89" t="s">
        <v>320</v>
      </c>
      <c r="C13" s="90" t="s">
        <v>25</v>
      </c>
      <c r="D13" s="88" t="s">
        <v>288</v>
      </c>
      <c r="E13" s="90">
        <v>1</v>
      </c>
      <c r="F13" s="88">
        <v>1.9</v>
      </c>
      <c r="G13" s="88"/>
      <c r="H13" s="88">
        <v>1.3</v>
      </c>
      <c r="I13" s="90">
        <f t="shared" si="0"/>
        <v>2.4699999999999998</v>
      </c>
      <c r="J13" s="157"/>
    </row>
    <row r="14" spans="1:10" x14ac:dyDescent="0.7">
      <c r="A14" s="191" t="s">
        <v>36</v>
      </c>
      <c r="B14" s="89" t="s">
        <v>322</v>
      </c>
      <c r="C14" s="90" t="s">
        <v>25</v>
      </c>
      <c r="D14" s="88" t="s">
        <v>288</v>
      </c>
      <c r="E14" s="90">
        <v>1</v>
      </c>
      <c r="F14" s="88">
        <v>1.9</v>
      </c>
      <c r="G14" s="88"/>
      <c r="H14" s="88">
        <v>1.3</v>
      </c>
      <c r="I14" s="90">
        <f t="shared" si="0"/>
        <v>2.4699999999999998</v>
      </c>
      <c r="J14" s="157"/>
    </row>
    <row r="15" spans="1:10" x14ac:dyDescent="0.7">
      <c r="A15" s="191"/>
      <c r="B15" s="89"/>
      <c r="C15" s="90" t="s">
        <v>25</v>
      </c>
      <c r="D15" s="88" t="s">
        <v>288</v>
      </c>
      <c r="E15" s="90">
        <v>1</v>
      </c>
      <c r="F15" s="88">
        <v>1.3</v>
      </c>
      <c r="G15" s="88"/>
      <c r="H15" s="88">
        <v>1.3</v>
      </c>
      <c r="I15" s="90">
        <f t="shared" si="0"/>
        <v>1.6900000000000002</v>
      </c>
      <c r="J15" s="157"/>
    </row>
    <row r="16" spans="1:10" x14ac:dyDescent="0.7">
      <c r="A16" s="191" t="s">
        <v>112</v>
      </c>
      <c r="B16" s="89" t="s">
        <v>323</v>
      </c>
      <c r="C16" s="90" t="s">
        <v>25</v>
      </c>
      <c r="D16" s="88" t="s">
        <v>288</v>
      </c>
      <c r="E16" s="90">
        <v>1</v>
      </c>
      <c r="F16" s="88">
        <v>1.3</v>
      </c>
      <c r="G16" s="88"/>
      <c r="H16" s="88">
        <v>1.3</v>
      </c>
      <c r="I16" s="90">
        <f t="shared" si="0"/>
        <v>1.6900000000000002</v>
      </c>
      <c r="J16" s="157"/>
    </row>
    <row r="17" spans="1:10" x14ac:dyDescent="0.7">
      <c r="A17" s="191" t="s">
        <v>114</v>
      </c>
      <c r="B17" s="89" t="s">
        <v>324</v>
      </c>
      <c r="C17" s="90" t="s">
        <v>25</v>
      </c>
      <c r="D17" s="88" t="s">
        <v>288</v>
      </c>
      <c r="E17" s="90">
        <v>1</v>
      </c>
      <c r="F17" s="88">
        <v>1.5</v>
      </c>
      <c r="G17" s="88"/>
      <c r="H17" s="88">
        <v>1.3</v>
      </c>
      <c r="I17" s="90">
        <f t="shared" si="0"/>
        <v>1.9500000000000002</v>
      </c>
      <c r="J17" s="157"/>
    </row>
    <row r="18" spans="1:10" x14ac:dyDescent="0.7">
      <c r="A18" s="191"/>
      <c r="B18" s="89"/>
      <c r="C18" s="90" t="s">
        <v>25</v>
      </c>
      <c r="D18" s="88" t="s">
        <v>288</v>
      </c>
      <c r="E18" s="90">
        <v>1</v>
      </c>
      <c r="F18" s="88">
        <v>1.5</v>
      </c>
      <c r="G18" s="88"/>
      <c r="H18" s="88">
        <v>1.2</v>
      </c>
      <c r="I18" s="90">
        <f t="shared" si="0"/>
        <v>1.7999999999999998</v>
      </c>
      <c r="J18" s="157"/>
    </row>
    <row r="19" spans="1:10" x14ac:dyDescent="0.7">
      <c r="A19" s="191"/>
      <c r="B19" s="89"/>
      <c r="C19" s="90"/>
      <c r="D19" s="88"/>
      <c r="E19" s="88">
        <f>SUM(E5:E18)</f>
        <v>15</v>
      </c>
      <c r="F19" s="88"/>
      <c r="G19" s="345" t="s">
        <v>325</v>
      </c>
      <c r="H19" s="346"/>
      <c r="I19" s="280">
        <f>SUM(I5:I18)</f>
        <v>24.150000000000002</v>
      </c>
      <c r="J19" s="157"/>
    </row>
    <row r="20" spans="1:10" ht="17.5" thickBot="1" x14ac:dyDescent="0.75">
      <c r="A20" s="198"/>
      <c r="B20" s="199"/>
      <c r="C20" s="200"/>
      <c r="D20" s="201"/>
      <c r="E20" s="201"/>
      <c r="F20" s="201"/>
      <c r="G20" s="201"/>
      <c r="H20" s="201"/>
      <c r="I20" s="200"/>
      <c r="J20" s="202"/>
    </row>
  </sheetData>
  <mergeCells count="10">
    <mergeCell ref="A1:J1"/>
    <mergeCell ref="G19:H19"/>
    <mergeCell ref="I2:I3"/>
    <mergeCell ref="J2:J3"/>
    <mergeCell ref="A2:A3"/>
    <mergeCell ref="B2:B3"/>
    <mergeCell ref="C2:C3"/>
    <mergeCell ref="D2:D3"/>
    <mergeCell ref="E2:E3"/>
    <mergeCell ref="F2:H2"/>
  </mergeCells>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BA0E-02A2-4EC3-860A-FFB788231884}">
  <sheetPr>
    <tabColor theme="7" tint="-0.249977111117893"/>
  </sheetPr>
  <dimension ref="A1:K14"/>
  <sheetViews>
    <sheetView view="pageBreakPreview" zoomScale="85" zoomScaleNormal="100" zoomScaleSheetLayoutView="85" workbookViewId="0">
      <pane xSplit="9" ySplit="15" topLeftCell="J16" activePane="bottomRight" state="frozen"/>
      <selection pane="topRight" activeCell="B4" sqref="B4"/>
      <selection pane="bottomLeft" activeCell="B4" sqref="B4"/>
      <selection pane="bottomRight" activeCell="N19" sqref="N19"/>
    </sheetView>
  </sheetViews>
  <sheetFormatPr defaultColWidth="9.1796875" defaultRowHeight="17" x14ac:dyDescent="0.7"/>
  <cols>
    <col min="1" max="1" width="5.1796875" style="62" bestFit="1" customWidth="1"/>
    <col min="2" max="2" width="23.7265625" style="67" customWidth="1"/>
    <col min="3" max="3" width="9.1796875" style="62" customWidth="1"/>
    <col min="4" max="4" width="9.1796875" style="67" customWidth="1"/>
    <col min="5" max="5" width="9.1796875" style="67"/>
    <col min="6" max="8" width="12.1796875" style="67" customWidth="1"/>
    <col min="9" max="9" width="9.1796875" style="62" customWidth="1"/>
    <col min="10" max="10" width="11" style="67" bestFit="1" customWidth="1"/>
    <col min="11" max="16384" width="9.1796875" style="67"/>
  </cols>
  <sheetData>
    <row r="1" spans="1:11" ht="21" customHeight="1" x14ac:dyDescent="0.7">
      <c r="A1" s="355" t="s">
        <v>326</v>
      </c>
      <c r="B1" s="353"/>
      <c r="C1" s="353"/>
      <c r="D1" s="353"/>
      <c r="E1" s="353"/>
      <c r="F1" s="353"/>
      <c r="G1" s="353"/>
      <c r="H1" s="353"/>
      <c r="I1" s="353"/>
      <c r="J1" s="349"/>
    </row>
    <row r="2" spans="1:11" s="60" customFormat="1" x14ac:dyDescent="0.35">
      <c r="A2" s="298" t="s">
        <v>2</v>
      </c>
      <c r="B2" s="299" t="s">
        <v>160</v>
      </c>
      <c r="C2" s="299" t="s">
        <v>161</v>
      </c>
      <c r="D2" s="299" t="s">
        <v>162</v>
      </c>
      <c r="E2" s="299" t="s">
        <v>25</v>
      </c>
      <c r="F2" s="299" t="s">
        <v>163</v>
      </c>
      <c r="G2" s="299"/>
      <c r="H2" s="299"/>
      <c r="I2" s="293" t="s">
        <v>5</v>
      </c>
      <c r="J2" s="294" t="s">
        <v>8</v>
      </c>
    </row>
    <row r="3" spans="1:11" s="60" customFormat="1" x14ac:dyDescent="0.35">
      <c r="A3" s="298"/>
      <c r="B3" s="299"/>
      <c r="C3" s="299"/>
      <c r="D3" s="299"/>
      <c r="E3" s="299"/>
      <c r="F3" s="271" t="s">
        <v>165</v>
      </c>
      <c r="G3" s="271" t="s">
        <v>166</v>
      </c>
      <c r="H3" s="271" t="s">
        <v>167</v>
      </c>
      <c r="I3" s="293"/>
      <c r="J3" s="294"/>
    </row>
    <row r="4" spans="1:11" x14ac:dyDescent="0.7">
      <c r="A4" s="286">
        <v>1</v>
      </c>
      <c r="B4" s="81" t="s">
        <v>293</v>
      </c>
      <c r="C4" s="59"/>
      <c r="D4" s="58"/>
      <c r="E4" s="59"/>
      <c r="F4" s="58"/>
      <c r="G4" s="58"/>
      <c r="H4" s="58"/>
      <c r="I4" s="59"/>
      <c r="J4" s="164"/>
    </row>
    <row r="5" spans="1:11" x14ac:dyDescent="0.7">
      <c r="A5" s="191" t="s">
        <v>10</v>
      </c>
      <c r="B5" s="88" t="s">
        <v>327</v>
      </c>
      <c r="C5" s="90" t="s">
        <v>25</v>
      </c>
      <c r="D5" s="88" t="s">
        <v>288</v>
      </c>
      <c r="E5" s="90">
        <v>1</v>
      </c>
      <c r="F5" s="88">
        <v>1.36</v>
      </c>
      <c r="G5" s="88"/>
      <c r="H5" s="123">
        <v>2.5</v>
      </c>
      <c r="I5" s="90">
        <f>E5*F5*H5</f>
        <v>3.4000000000000004</v>
      </c>
      <c r="J5" s="157"/>
      <c r="K5" s="122">
        <f t="shared" ref="K5:K13" si="0">H5*2+F5</f>
        <v>6.36</v>
      </c>
    </row>
    <row r="6" spans="1:11" x14ac:dyDescent="0.7">
      <c r="A6" s="191" t="s">
        <v>16</v>
      </c>
      <c r="B6" s="88" t="s">
        <v>328</v>
      </c>
      <c r="C6" s="90" t="s">
        <v>25</v>
      </c>
      <c r="D6" s="88" t="s">
        <v>288</v>
      </c>
      <c r="E6" s="90">
        <v>1</v>
      </c>
      <c r="F6" s="88">
        <v>0.995</v>
      </c>
      <c r="G6" s="88"/>
      <c r="H6" s="123">
        <v>2.0499999999999998</v>
      </c>
      <c r="I6" s="90">
        <f t="shared" ref="I6:I13" si="1">E6*F6*H6</f>
        <v>2.0397499999999997</v>
      </c>
      <c r="J6" s="157"/>
      <c r="K6" s="122">
        <f t="shared" si="0"/>
        <v>5.0949999999999998</v>
      </c>
    </row>
    <row r="7" spans="1:11" x14ac:dyDescent="0.7">
      <c r="A7" s="191" t="s">
        <v>29</v>
      </c>
      <c r="B7" s="88" t="s">
        <v>329</v>
      </c>
      <c r="C7" s="90" t="s">
        <v>25</v>
      </c>
      <c r="D7" s="88" t="s">
        <v>288</v>
      </c>
      <c r="E7" s="90">
        <v>1</v>
      </c>
      <c r="F7" s="88">
        <v>0.94</v>
      </c>
      <c r="G7" s="88"/>
      <c r="H7" s="123">
        <v>2.08</v>
      </c>
      <c r="I7" s="90">
        <f t="shared" si="1"/>
        <v>1.9552</v>
      </c>
      <c r="J7" s="157"/>
      <c r="K7" s="122">
        <f t="shared" si="0"/>
        <v>5.0999999999999996</v>
      </c>
    </row>
    <row r="8" spans="1:11" x14ac:dyDescent="0.7">
      <c r="A8" s="191" t="s">
        <v>36</v>
      </c>
      <c r="B8" s="88" t="s">
        <v>330</v>
      </c>
      <c r="C8" s="90" t="s">
        <v>25</v>
      </c>
      <c r="D8" s="88" t="s">
        <v>288</v>
      </c>
      <c r="E8" s="90">
        <v>1</v>
      </c>
      <c r="F8" s="88">
        <v>1.45</v>
      </c>
      <c r="G8" s="88"/>
      <c r="H8" s="88">
        <v>2.08</v>
      </c>
      <c r="I8" s="90">
        <f t="shared" si="1"/>
        <v>3.016</v>
      </c>
      <c r="J8" s="157"/>
      <c r="K8" s="122">
        <f t="shared" si="0"/>
        <v>5.61</v>
      </c>
    </row>
    <row r="9" spans="1:11" x14ac:dyDescent="0.7">
      <c r="A9" s="191" t="s">
        <v>112</v>
      </c>
      <c r="B9" s="88" t="s">
        <v>301</v>
      </c>
      <c r="C9" s="90" t="s">
        <v>25</v>
      </c>
      <c r="D9" s="88" t="s">
        <v>288</v>
      </c>
      <c r="E9" s="90">
        <v>1</v>
      </c>
      <c r="F9" s="88">
        <v>0.7</v>
      </c>
      <c r="G9" s="88"/>
      <c r="H9" s="88">
        <v>2.08</v>
      </c>
      <c r="I9" s="90">
        <f t="shared" si="1"/>
        <v>1.456</v>
      </c>
      <c r="J9" s="157"/>
      <c r="K9" s="122">
        <f t="shared" si="0"/>
        <v>4.8600000000000003</v>
      </c>
    </row>
    <row r="10" spans="1:11" x14ac:dyDescent="0.7">
      <c r="A10" s="191" t="s">
        <v>114</v>
      </c>
      <c r="B10" s="88" t="s">
        <v>331</v>
      </c>
      <c r="C10" s="90" t="s">
        <v>25</v>
      </c>
      <c r="D10" s="88" t="s">
        <v>288</v>
      </c>
      <c r="E10" s="90">
        <v>1</v>
      </c>
      <c r="F10" s="88">
        <v>0.6</v>
      </c>
      <c r="G10" s="88"/>
      <c r="H10" s="88">
        <v>2.08</v>
      </c>
      <c r="I10" s="90">
        <f t="shared" si="1"/>
        <v>1.248</v>
      </c>
      <c r="J10" s="157"/>
      <c r="K10" s="122">
        <f t="shared" si="0"/>
        <v>4.76</v>
      </c>
    </row>
    <row r="11" spans="1:11" x14ac:dyDescent="0.7">
      <c r="A11" s="191" t="s">
        <v>116</v>
      </c>
      <c r="B11" s="88" t="s">
        <v>332</v>
      </c>
      <c r="C11" s="90" t="s">
        <v>25</v>
      </c>
      <c r="D11" s="88" t="s">
        <v>173</v>
      </c>
      <c r="E11" s="90">
        <v>2</v>
      </c>
      <c r="F11" s="88">
        <v>1.1599999999999999</v>
      </c>
      <c r="G11" s="88"/>
      <c r="H11" s="88">
        <v>2.4900000000000002</v>
      </c>
      <c r="I11" s="90">
        <f t="shared" si="1"/>
        <v>5.7767999999999997</v>
      </c>
      <c r="J11" s="157"/>
      <c r="K11" s="122">
        <f t="shared" si="0"/>
        <v>6.1400000000000006</v>
      </c>
    </row>
    <row r="12" spans="1:11" x14ac:dyDescent="0.7">
      <c r="A12" s="191" t="s">
        <v>118</v>
      </c>
      <c r="B12" s="88" t="s">
        <v>333</v>
      </c>
      <c r="C12" s="90" t="s">
        <v>25</v>
      </c>
      <c r="D12" s="88" t="s">
        <v>288</v>
      </c>
      <c r="E12" s="90">
        <v>1</v>
      </c>
      <c r="F12" s="88">
        <v>0.9</v>
      </c>
      <c r="G12" s="88"/>
      <c r="H12" s="88">
        <v>2.13</v>
      </c>
      <c r="I12" s="90">
        <f t="shared" si="1"/>
        <v>1.917</v>
      </c>
      <c r="J12" s="157"/>
      <c r="K12" s="122">
        <f t="shared" si="0"/>
        <v>5.16</v>
      </c>
    </row>
    <row r="13" spans="1:11" x14ac:dyDescent="0.7">
      <c r="A13" s="191" t="s">
        <v>120</v>
      </c>
      <c r="B13" s="88" t="s">
        <v>334</v>
      </c>
      <c r="C13" s="90" t="s">
        <v>25</v>
      </c>
      <c r="D13" s="88" t="s">
        <v>288</v>
      </c>
      <c r="E13" s="90">
        <v>1</v>
      </c>
      <c r="F13" s="88">
        <v>0.9</v>
      </c>
      <c r="G13" s="88"/>
      <c r="H13" s="88">
        <v>2.13</v>
      </c>
      <c r="I13" s="90">
        <f t="shared" si="1"/>
        <v>1.917</v>
      </c>
      <c r="J13" s="157"/>
      <c r="K13" s="122">
        <f t="shared" si="0"/>
        <v>5.16</v>
      </c>
    </row>
    <row r="14" spans="1:11" ht="17.5" thickBot="1" x14ac:dyDescent="0.75">
      <c r="A14" s="192"/>
      <c r="B14" s="193"/>
      <c r="C14" s="306" t="s">
        <v>325</v>
      </c>
      <c r="D14" s="307"/>
      <c r="E14" s="194">
        <f>SUM(E5:E13)</f>
        <v>10</v>
      </c>
      <c r="F14" s="194"/>
      <c r="G14" s="194"/>
      <c r="H14" s="194"/>
      <c r="I14" s="275">
        <f>SUM(I5:I13)</f>
        <v>22.725750000000001</v>
      </c>
      <c r="J14" s="195"/>
      <c r="K14" s="190">
        <f>SUM(K5:K13)</f>
        <v>48.24499999999999</v>
      </c>
    </row>
  </sheetData>
  <mergeCells count="10">
    <mergeCell ref="A1:J1"/>
    <mergeCell ref="I2:I3"/>
    <mergeCell ref="J2:J3"/>
    <mergeCell ref="C14:D14"/>
    <mergeCell ref="A2:A3"/>
    <mergeCell ref="B2:B3"/>
    <mergeCell ref="C2:C3"/>
    <mergeCell ref="D2:D3"/>
    <mergeCell ref="E2:E3"/>
    <mergeCell ref="F2:H2"/>
  </mergeCells>
  <pageMargins left="0.7" right="0.7" top="0.75" bottom="0.75" header="0.3" footer="0.3"/>
  <pageSetup paperSize="9" scale="77" orientation="portrait"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7FB2-5A4B-4D07-AC44-B5AA09DDD42B}">
  <sheetPr>
    <tabColor theme="7" tint="-0.249977111117893"/>
  </sheetPr>
  <dimension ref="A1:K34"/>
  <sheetViews>
    <sheetView view="pageBreakPreview" zoomScale="60" zoomScaleNormal="70" workbookViewId="0">
      <pane ySplit="3" topLeftCell="A4" activePane="bottomLeft" state="frozen"/>
      <selection activeCell="B4" sqref="B4"/>
      <selection pane="bottomLeft" activeCell="K4" sqref="K4"/>
    </sheetView>
  </sheetViews>
  <sheetFormatPr defaultColWidth="9.1796875" defaultRowHeight="17" x14ac:dyDescent="0.35"/>
  <cols>
    <col min="1" max="1" width="5.1796875" style="62" bestFit="1" customWidth="1"/>
    <col min="2" max="2" width="11.54296875" style="62" bestFit="1" customWidth="1"/>
    <col min="3" max="4" width="9.1796875" style="62" customWidth="1"/>
    <col min="5" max="5" width="9.1796875" style="62"/>
    <col min="6" max="8" width="12.1796875" style="62" customWidth="1"/>
    <col min="9" max="9" width="9.1796875" style="62" customWidth="1"/>
    <col min="10" max="10" width="13.54296875" style="62" customWidth="1"/>
    <col min="11" max="11" width="9.81640625" style="62" bestFit="1" customWidth="1"/>
    <col min="12" max="16384" width="9.1796875" style="62"/>
  </cols>
  <sheetData>
    <row r="1" spans="1:11" ht="21.75" customHeight="1" thickBot="1" x14ac:dyDescent="0.4">
      <c r="A1" s="356" t="s">
        <v>335</v>
      </c>
      <c r="B1" s="357"/>
      <c r="C1" s="357"/>
      <c r="D1" s="357"/>
      <c r="E1" s="357"/>
      <c r="F1" s="357"/>
      <c r="G1" s="357"/>
      <c r="H1" s="357"/>
      <c r="I1" s="357"/>
      <c r="J1" s="358"/>
    </row>
    <row r="2" spans="1:11" s="60" customFormat="1" x14ac:dyDescent="0.35">
      <c r="A2" s="361" t="s">
        <v>2</v>
      </c>
      <c r="B2" s="362" t="s">
        <v>160</v>
      </c>
      <c r="C2" s="362" t="s">
        <v>161</v>
      </c>
      <c r="D2" s="362" t="s">
        <v>162</v>
      </c>
      <c r="E2" s="362" t="s">
        <v>25</v>
      </c>
      <c r="F2" s="362" t="s">
        <v>163</v>
      </c>
      <c r="G2" s="362"/>
      <c r="H2" s="362"/>
      <c r="I2" s="359" t="s">
        <v>5</v>
      </c>
      <c r="J2" s="360" t="s">
        <v>8</v>
      </c>
    </row>
    <row r="3" spans="1:11" s="60" customFormat="1" x14ac:dyDescent="0.35">
      <c r="A3" s="298"/>
      <c r="B3" s="299"/>
      <c r="C3" s="299"/>
      <c r="D3" s="299"/>
      <c r="E3" s="299"/>
      <c r="F3" s="271" t="s">
        <v>165</v>
      </c>
      <c r="G3" s="271" t="s">
        <v>166</v>
      </c>
      <c r="H3" s="271" t="s">
        <v>167</v>
      </c>
      <c r="I3" s="293"/>
      <c r="J3" s="294"/>
    </row>
    <row r="4" spans="1:11" x14ac:dyDescent="0.7">
      <c r="A4" s="191">
        <v>1</v>
      </c>
      <c r="B4" s="90" t="s">
        <v>336</v>
      </c>
      <c r="C4" s="90" t="s">
        <v>13</v>
      </c>
      <c r="D4" s="90" t="s">
        <v>181</v>
      </c>
      <c r="E4" s="90">
        <v>1</v>
      </c>
      <c r="F4" s="90">
        <v>0.97</v>
      </c>
      <c r="G4" s="90"/>
      <c r="H4" s="90">
        <v>2.0699999999999998</v>
      </c>
      <c r="I4" s="121">
        <f>H4*F4*E4</f>
        <v>2.0078999999999998</v>
      </c>
      <c r="J4" s="204"/>
      <c r="K4" s="122">
        <f>H4*2+F4</f>
        <v>5.1099999999999994</v>
      </c>
    </row>
    <row r="5" spans="1:11" x14ac:dyDescent="0.7">
      <c r="A5" s="191">
        <v>2</v>
      </c>
      <c r="B5" s="90" t="s">
        <v>336</v>
      </c>
      <c r="C5" s="90" t="s">
        <v>13</v>
      </c>
      <c r="D5" s="90" t="s">
        <v>181</v>
      </c>
      <c r="E5" s="90">
        <v>1</v>
      </c>
      <c r="F5" s="90">
        <v>0.97</v>
      </c>
      <c r="G5" s="90"/>
      <c r="H5" s="90">
        <v>2.08</v>
      </c>
      <c r="I5" s="121">
        <f t="shared" ref="I5:I33" si="0">H5*F5*E5</f>
        <v>2.0175999999999998</v>
      </c>
      <c r="J5" s="204"/>
      <c r="K5" s="122">
        <f t="shared" ref="K5:K33" si="1">H5*2+F5</f>
        <v>5.13</v>
      </c>
    </row>
    <row r="6" spans="1:11" x14ac:dyDescent="0.7">
      <c r="A6" s="191">
        <v>3</v>
      </c>
      <c r="B6" s="90" t="s">
        <v>336</v>
      </c>
      <c r="C6" s="90" t="s">
        <v>13</v>
      </c>
      <c r="D6" s="90" t="s">
        <v>181</v>
      </c>
      <c r="E6" s="90">
        <v>1</v>
      </c>
      <c r="F6" s="90">
        <v>0.995</v>
      </c>
      <c r="G6" s="90"/>
      <c r="H6" s="90">
        <v>2.09</v>
      </c>
      <c r="I6" s="121">
        <f t="shared" si="0"/>
        <v>2.0795499999999998</v>
      </c>
      <c r="J6" s="204"/>
      <c r="K6" s="122">
        <f t="shared" si="1"/>
        <v>5.1749999999999998</v>
      </c>
    </row>
    <row r="7" spans="1:11" x14ac:dyDescent="0.7">
      <c r="A7" s="191">
        <v>4</v>
      </c>
      <c r="B7" s="90" t="s">
        <v>336</v>
      </c>
      <c r="C7" s="90" t="s">
        <v>13</v>
      </c>
      <c r="D7" s="90" t="s">
        <v>181</v>
      </c>
      <c r="E7" s="90">
        <v>2</v>
      </c>
      <c r="F7" s="90">
        <v>0.89</v>
      </c>
      <c r="G7" s="90"/>
      <c r="H7" s="90">
        <v>2.165</v>
      </c>
      <c r="I7" s="121">
        <f t="shared" si="0"/>
        <v>3.8536999999999999</v>
      </c>
      <c r="J7" s="204"/>
      <c r="K7" s="122">
        <f t="shared" si="1"/>
        <v>5.22</v>
      </c>
    </row>
    <row r="8" spans="1:11" x14ac:dyDescent="0.7">
      <c r="A8" s="191">
        <v>5</v>
      </c>
      <c r="B8" s="90" t="s">
        <v>336</v>
      </c>
      <c r="C8" s="90" t="s">
        <v>13</v>
      </c>
      <c r="D8" s="90" t="s">
        <v>181</v>
      </c>
      <c r="E8" s="90">
        <v>4</v>
      </c>
      <c r="F8" s="90">
        <v>0.75</v>
      </c>
      <c r="G8" s="90"/>
      <c r="H8" s="90">
        <v>2.0249999999999999</v>
      </c>
      <c r="I8" s="121">
        <f t="shared" si="0"/>
        <v>6.0749999999999993</v>
      </c>
      <c r="J8" s="204"/>
      <c r="K8" s="122">
        <f t="shared" si="1"/>
        <v>4.8</v>
      </c>
    </row>
    <row r="9" spans="1:11" x14ac:dyDescent="0.7">
      <c r="A9" s="191">
        <v>6</v>
      </c>
      <c r="B9" s="90" t="s">
        <v>336</v>
      </c>
      <c r="C9" s="90" t="s">
        <v>13</v>
      </c>
      <c r="D9" s="90" t="s">
        <v>181</v>
      </c>
      <c r="E9" s="90">
        <v>1</v>
      </c>
      <c r="F9" s="90">
        <v>0.98499999999999999</v>
      </c>
      <c r="G9" s="90"/>
      <c r="H9" s="90">
        <v>2</v>
      </c>
      <c r="I9" s="121">
        <f t="shared" si="0"/>
        <v>1.97</v>
      </c>
      <c r="J9" s="204"/>
      <c r="K9" s="122">
        <f t="shared" si="1"/>
        <v>4.9850000000000003</v>
      </c>
    </row>
    <row r="10" spans="1:11" x14ac:dyDescent="0.7">
      <c r="A10" s="191">
        <v>7</v>
      </c>
      <c r="B10" s="90" t="s">
        <v>336</v>
      </c>
      <c r="C10" s="90" t="s">
        <v>13</v>
      </c>
      <c r="D10" s="90" t="s">
        <v>173</v>
      </c>
      <c r="E10" s="90">
        <v>2</v>
      </c>
      <c r="F10" s="90">
        <v>0.98</v>
      </c>
      <c r="G10" s="90"/>
      <c r="H10" s="90">
        <v>2.0699999999999998</v>
      </c>
      <c r="I10" s="121">
        <f t="shared" si="0"/>
        <v>4.0571999999999999</v>
      </c>
      <c r="J10" s="204"/>
      <c r="K10" s="122">
        <f t="shared" si="1"/>
        <v>5.1199999999999992</v>
      </c>
    </row>
    <row r="11" spans="1:11" x14ac:dyDescent="0.7">
      <c r="A11" s="191">
        <v>8</v>
      </c>
      <c r="B11" s="90" t="s">
        <v>336</v>
      </c>
      <c r="C11" s="90" t="s">
        <v>13</v>
      </c>
      <c r="D11" s="90" t="s">
        <v>181</v>
      </c>
      <c r="E11" s="90">
        <v>1</v>
      </c>
      <c r="F11" s="90">
        <v>1.04</v>
      </c>
      <c r="G11" s="90"/>
      <c r="H11" s="90">
        <v>1.99</v>
      </c>
      <c r="I11" s="121">
        <f t="shared" si="0"/>
        <v>2.0695999999999999</v>
      </c>
      <c r="J11" s="204"/>
      <c r="K11" s="122">
        <f t="shared" si="1"/>
        <v>5.0199999999999996</v>
      </c>
    </row>
    <row r="12" spans="1:11" x14ac:dyDescent="0.7">
      <c r="A12" s="191">
        <v>9</v>
      </c>
      <c r="B12" s="90" t="s">
        <v>336</v>
      </c>
      <c r="C12" s="90" t="s">
        <v>13</v>
      </c>
      <c r="D12" s="90" t="s">
        <v>181</v>
      </c>
      <c r="E12" s="90">
        <v>1</v>
      </c>
      <c r="F12" s="90">
        <v>1.04</v>
      </c>
      <c r="G12" s="90"/>
      <c r="H12" s="90">
        <v>2</v>
      </c>
      <c r="I12" s="121">
        <f t="shared" si="0"/>
        <v>2.08</v>
      </c>
      <c r="J12" s="204"/>
      <c r="K12" s="122">
        <f t="shared" si="1"/>
        <v>5.04</v>
      </c>
    </row>
    <row r="13" spans="1:11" x14ac:dyDescent="0.7">
      <c r="A13" s="191">
        <v>10</v>
      </c>
      <c r="B13" s="90" t="s">
        <v>336</v>
      </c>
      <c r="C13" s="90" t="s">
        <v>13</v>
      </c>
      <c r="D13" s="90" t="s">
        <v>181</v>
      </c>
      <c r="E13" s="90">
        <v>1</v>
      </c>
      <c r="F13" s="90">
        <v>1.04</v>
      </c>
      <c r="G13" s="90"/>
      <c r="H13" s="90">
        <v>2.0099999999999998</v>
      </c>
      <c r="I13" s="121">
        <f t="shared" si="0"/>
        <v>2.0903999999999998</v>
      </c>
      <c r="J13" s="204"/>
      <c r="K13" s="122">
        <f t="shared" si="1"/>
        <v>5.0599999999999996</v>
      </c>
    </row>
    <row r="14" spans="1:11" x14ac:dyDescent="0.7">
      <c r="A14" s="191">
        <v>11</v>
      </c>
      <c r="B14" s="90" t="s">
        <v>336</v>
      </c>
      <c r="C14" s="90" t="s">
        <v>13</v>
      </c>
      <c r="D14" s="90" t="s">
        <v>181</v>
      </c>
      <c r="E14" s="90">
        <v>1</v>
      </c>
      <c r="F14" s="90">
        <v>0.995</v>
      </c>
      <c r="G14" s="90"/>
      <c r="H14" s="90">
        <v>2.0699999999999998</v>
      </c>
      <c r="I14" s="121">
        <f t="shared" si="0"/>
        <v>2.05965</v>
      </c>
      <c r="J14" s="204"/>
      <c r="K14" s="122">
        <f t="shared" si="1"/>
        <v>5.1349999999999998</v>
      </c>
    </row>
    <row r="15" spans="1:11" x14ac:dyDescent="0.7">
      <c r="A15" s="191">
        <v>12</v>
      </c>
      <c r="B15" s="90" t="s">
        <v>336</v>
      </c>
      <c r="C15" s="90" t="s">
        <v>13</v>
      </c>
      <c r="D15" s="90" t="s">
        <v>181</v>
      </c>
      <c r="E15" s="90">
        <v>1</v>
      </c>
      <c r="F15" s="90">
        <v>0.9</v>
      </c>
      <c r="G15" s="90"/>
      <c r="H15" s="90">
        <v>2.08</v>
      </c>
      <c r="I15" s="121">
        <f t="shared" si="0"/>
        <v>1.8720000000000001</v>
      </c>
      <c r="J15" s="204"/>
      <c r="K15" s="122">
        <f t="shared" si="1"/>
        <v>5.0600000000000005</v>
      </c>
    </row>
    <row r="16" spans="1:11" x14ac:dyDescent="0.7">
      <c r="A16" s="191">
        <v>13</v>
      </c>
      <c r="B16" s="90" t="s">
        <v>336</v>
      </c>
      <c r="C16" s="90" t="s">
        <v>13</v>
      </c>
      <c r="D16" s="90" t="s">
        <v>181</v>
      </c>
      <c r="E16" s="90">
        <v>1</v>
      </c>
      <c r="F16" s="90">
        <v>0.97499999999999998</v>
      </c>
      <c r="G16" s="90"/>
      <c r="H16" s="90">
        <v>2.08</v>
      </c>
      <c r="I16" s="121">
        <f t="shared" si="0"/>
        <v>2.028</v>
      </c>
      <c r="J16" s="204"/>
      <c r="K16" s="122">
        <f t="shared" si="1"/>
        <v>5.1349999999999998</v>
      </c>
    </row>
    <row r="17" spans="1:11" x14ac:dyDescent="0.7">
      <c r="A17" s="191">
        <v>14</v>
      </c>
      <c r="B17" s="90" t="s">
        <v>336</v>
      </c>
      <c r="C17" s="90" t="s">
        <v>13</v>
      </c>
      <c r="D17" s="90" t="s">
        <v>181</v>
      </c>
      <c r="E17" s="90">
        <v>1</v>
      </c>
      <c r="F17" s="90">
        <v>1.04</v>
      </c>
      <c r="G17" s="90"/>
      <c r="H17" s="90">
        <v>2.08</v>
      </c>
      <c r="I17" s="121">
        <f t="shared" si="0"/>
        <v>2.1632000000000002</v>
      </c>
      <c r="J17" s="204"/>
      <c r="K17" s="122">
        <f t="shared" si="1"/>
        <v>5.2</v>
      </c>
    </row>
    <row r="18" spans="1:11" x14ac:dyDescent="0.7">
      <c r="A18" s="191">
        <v>15</v>
      </c>
      <c r="B18" s="90" t="s">
        <v>336</v>
      </c>
      <c r="C18" s="90" t="s">
        <v>13</v>
      </c>
      <c r="D18" s="90" t="s">
        <v>181</v>
      </c>
      <c r="E18" s="90">
        <v>1</v>
      </c>
      <c r="F18" s="90">
        <v>1.36</v>
      </c>
      <c r="G18" s="90"/>
      <c r="H18" s="90">
        <v>2.5</v>
      </c>
      <c r="I18" s="121">
        <f t="shared" si="0"/>
        <v>3.4000000000000004</v>
      </c>
      <c r="J18" s="204"/>
      <c r="K18" s="122">
        <f t="shared" si="1"/>
        <v>6.36</v>
      </c>
    </row>
    <row r="19" spans="1:11" x14ac:dyDescent="0.7">
      <c r="A19" s="191">
        <v>16</v>
      </c>
      <c r="B19" s="90" t="s">
        <v>336</v>
      </c>
      <c r="C19" s="90" t="s">
        <v>13</v>
      </c>
      <c r="D19" s="90" t="s">
        <v>181</v>
      </c>
      <c r="E19" s="90">
        <v>1</v>
      </c>
      <c r="F19" s="90">
        <v>0.995</v>
      </c>
      <c r="G19" s="90"/>
      <c r="H19" s="90">
        <v>2.0499999999999998</v>
      </c>
      <c r="I19" s="121">
        <f t="shared" si="0"/>
        <v>2.0397499999999997</v>
      </c>
      <c r="J19" s="204"/>
      <c r="K19" s="122">
        <f t="shared" si="1"/>
        <v>5.0949999999999998</v>
      </c>
    </row>
    <row r="20" spans="1:11" x14ac:dyDescent="0.7">
      <c r="A20" s="191">
        <v>17</v>
      </c>
      <c r="B20" s="90" t="s">
        <v>336</v>
      </c>
      <c r="C20" s="90" t="s">
        <v>13</v>
      </c>
      <c r="D20" s="90" t="s">
        <v>181</v>
      </c>
      <c r="E20" s="90">
        <v>1</v>
      </c>
      <c r="F20" s="90">
        <v>1.02</v>
      </c>
      <c r="G20" s="90"/>
      <c r="H20" s="90">
        <v>2.08</v>
      </c>
      <c r="I20" s="121">
        <f t="shared" si="0"/>
        <v>2.1215999999999999</v>
      </c>
      <c r="J20" s="204"/>
      <c r="K20" s="122">
        <f t="shared" si="1"/>
        <v>5.18</v>
      </c>
    </row>
    <row r="21" spans="1:11" x14ac:dyDescent="0.7">
      <c r="A21" s="191">
        <v>18</v>
      </c>
      <c r="B21" s="90" t="s">
        <v>336</v>
      </c>
      <c r="C21" s="90" t="s">
        <v>13</v>
      </c>
      <c r="D21" s="90" t="s">
        <v>181</v>
      </c>
      <c r="E21" s="90">
        <v>1</v>
      </c>
      <c r="F21" s="90">
        <v>1.45</v>
      </c>
      <c r="G21" s="90"/>
      <c r="H21" s="90">
        <v>2.08</v>
      </c>
      <c r="I21" s="121">
        <f t="shared" si="0"/>
        <v>3.016</v>
      </c>
      <c r="J21" s="204"/>
      <c r="K21" s="122">
        <f t="shared" si="1"/>
        <v>5.61</v>
      </c>
    </row>
    <row r="22" spans="1:11" x14ac:dyDescent="0.7">
      <c r="A22" s="191">
        <v>19</v>
      </c>
      <c r="B22" s="90" t="s">
        <v>336</v>
      </c>
      <c r="C22" s="90" t="s">
        <v>13</v>
      </c>
      <c r="D22" s="90" t="s">
        <v>181</v>
      </c>
      <c r="E22" s="90">
        <v>1</v>
      </c>
      <c r="F22" s="90">
        <v>0.94</v>
      </c>
      <c r="G22" s="90"/>
      <c r="H22" s="90">
        <v>2.08</v>
      </c>
      <c r="I22" s="121">
        <f t="shared" si="0"/>
        <v>1.9552</v>
      </c>
      <c r="J22" s="204"/>
      <c r="K22" s="122">
        <f t="shared" si="1"/>
        <v>5.0999999999999996</v>
      </c>
    </row>
    <row r="23" spans="1:11" x14ac:dyDescent="0.7">
      <c r="A23" s="191">
        <v>20</v>
      </c>
      <c r="B23" s="90" t="s">
        <v>336</v>
      </c>
      <c r="C23" s="90" t="s">
        <v>13</v>
      </c>
      <c r="D23" s="90" t="s">
        <v>181</v>
      </c>
      <c r="E23" s="90">
        <v>1</v>
      </c>
      <c r="F23" s="90">
        <v>0.7</v>
      </c>
      <c r="G23" s="90"/>
      <c r="H23" s="90">
        <v>1.97</v>
      </c>
      <c r="I23" s="121">
        <f t="shared" si="0"/>
        <v>1.379</v>
      </c>
      <c r="J23" s="204"/>
      <c r="K23" s="122">
        <f t="shared" si="1"/>
        <v>4.6399999999999997</v>
      </c>
    </row>
    <row r="24" spans="1:11" x14ac:dyDescent="0.7">
      <c r="A24" s="191">
        <v>21</v>
      </c>
      <c r="B24" s="90" t="s">
        <v>336</v>
      </c>
      <c r="C24" s="90" t="s">
        <v>13</v>
      </c>
      <c r="D24" s="90" t="s">
        <v>181</v>
      </c>
      <c r="E24" s="90">
        <v>1</v>
      </c>
      <c r="F24" s="90">
        <v>0.7</v>
      </c>
      <c r="G24" s="90"/>
      <c r="H24" s="90">
        <v>1.97</v>
      </c>
      <c r="I24" s="121">
        <f t="shared" si="0"/>
        <v>1.379</v>
      </c>
      <c r="J24" s="204"/>
      <c r="K24" s="122">
        <f t="shared" si="1"/>
        <v>4.6399999999999997</v>
      </c>
    </row>
    <row r="25" spans="1:11" x14ac:dyDescent="0.7">
      <c r="A25" s="191">
        <v>22</v>
      </c>
      <c r="B25" s="90" t="s">
        <v>336</v>
      </c>
      <c r="C25" s="90" t="s">
        <v>13</v>
      </c>
      <c r="D25" s="90" t="s">
        <v>181</v>
      </c>
      <c r="E25" s="90">
        <v>1</v>
      </c>
      <c r="F25" s="90">
        <v>0.9</v>
      </c>
      <c r="G25" s="90"/>
      <c r="H25" s="90">
        <v>1.91</v>
      </c>
      <c r="I25" s="121">
        <f t="shared" si="0"/>
        <v>1.7189999999999999</v>
      </c>
      <c r="J25" s="204"/>
      <c r="K25" s="122">
        <f t="shared" si="1"/>
        <v>4.72</v>
      </c>
    </row>
    <row r="26" spans="1:11" x14ac:dyDescent="0.7">
      <c r="A26" s="191">
        <v>23</v>
      </c>
      <c r="B26" s="90" t="s">
        <v>336</v>
      </c>
      <c r="C26" s="90" t="s">
        <v>13</v>
      </c>
      <c r="D26" s="90" t="s">
        <v>181</v>
      </c>
      <c r="E26" s="90">
        <v>1</v>
      </c>
      <c r="F26" s="90">
        <v>0.77</v>
      </c>
      <c r="G26" s="90"/>
      <c r="H26" s="90">
        <v>2.0699999999999998</v>
      </c>
      <c r="I26" s="121">
        <f t="shared" si="0"/>
        <v>1.5938999999999999</v>
      </c>
      <c r="J26" s="204"/>
      <c r="K26" s="122">
        <f t="shared" si="1"/>
        <v>4.91</v>
      </c>
    </row>
    <row r="27" spans="1:11" x14ac:dyDescent="0.7">
      <c r="A27" s="191">
        <v>24</v>
      </c>
      <c r="B27" s="90" t="s">
        <v>336</v>
      </c>
      <c r="C27" s="90" t="s">
        <v>13</v>
      </c>
      <c r="D27" s="90" t="s">
        <v>181</v>
      </c>
      <c r="E27" s="90">
        <v>1</v>
      </c>
      <c r="F27" s="90">
        <v>0.77500000000000002</v>
      </c>
      <c r="G27" s="90"/>
      <c r="H27" s="90">
        <v>2.0699999999999998</v>
      </c>
      <c r="I27" s="121">
        <f t="shared" si="0"/>
        <v>1.60425</v>
      </c>
      <c r="J27" s="204"/>
      <c r="K27" s="122">
        <f t="shared" si="1"/>
        <v>4.915</v>
      </c>
    </row>
    <row r="28" spans="1:11" x14ac:dyDescent="0.7">
      <c r="A28" s="191">
        <v>25</v>
      </c>
      <c r="B28" s="90" t="s">
        <v>336</v>
      </c>
      <c r="C28" s="90" t="s">
        <v>13</v>
      </c>
      <c r="D28" s="90" t="s">
        <v>181</v>
      </c>
      <c r="E28" s="90">
        <v>1</v>
      </c>
      <c r="F28" s="90">
        <v>0.85</v>
      </c>
      <c r="G28" s="90"/>
      <c r="H28" s="90">
        <v>2.04</v>
      </c>
      <c r="I28" s="121">
        <f t="shared" si="0"/>
        <v>1.734</v>
      </c>
      <c r="J28" s="204"/>
      <c r="K28" s="122">
        <f t="shared" si="1"/>
        <v>4.93</v>
      </c>
    </row>
    <row r="29" spans="1:11" x14ac:dyDescent="0.7">
      <c r="A29" s="191">
        <v>26</v>
      </c>
      <c r="B29" s="90" t="s">
        <v>336</v>
      </c>
      <c r="C29" s="90" t="s">
        <v>13</v>
      </c>
      <c r="D29" s="90" t="s">
        <v>181</v>
      </c>
      <c r="E29" s="90">
        <v>1</v>
      </c>
      <c r="F29" s="90">
        <v>0.7</v>
      </c>
      <c r="G29" s="90"/>
      <c r="H29" s="90">
        <v>2.04</v>
      </c>
      <c r="I29" s="121">
        <f t="shared" si="0"/>
        <v>1.4279999999999999</v>
      </c>
      <c r="J29" s="204"/>
      <c r="K29" s="122">
        <f t="shared" si="1"/>
        <v>4.78</v>
      </c>
    </row>
    <row r="30" spans="1:11" x14ac:dyDescent="0.7">
      <c r="A30" s="191">
        <v>27</v>
      </c>
      <c r="B30" s="90" t="s">
        <v>336</v>
      </c>
      <c r="C30" s="90" t="s">
        <v>13</v>
      </c>
      <c r="D30" s="90" t="s">
        <v>173</v>
      </c>
      <c r="E30" s="90">
        <v>4</v>
      </c>
      <c r="F30" s="90">
        <v>1.1599999999999999</v>
      </c>
      <c r="G30" s="90"/>
      <c r="H30" s="90">
        <v>2.4900000000000002</v>
      </c>
      <c r="I30" s="121">
        <f t="shared" si="0"/>
        <v>11.553599999999999</v>
      </c>
      <c r="J30" s="204"/>
      <c r="K30" s="122">
        <f t="shared" si="1"/>
        <v>6.1400000000000006</v>
      </c>
    </row>
    <row r="31" spans="1:11" x14ac:dyDescent="0.7">
      <c r="A31" s="191">
        <v>28</v>
      </c>
      <c r="B31" s="90" t="s">
        <v>336</v>
      </c>
      <c r="C31" s="90" t="s">
        <v>13</v>
      </c>
      <c r="D31" s="90" t="s">
        <v>173</v>
      </c>
      <c r="E31" s="90">
        <v>4</v>
      </c>
      <c r="F31" s="90">
        <v>0.99</v>
      </c>
      <c r="G31" s="90"/>
      <c r="H31" s="90">
        <v>2.4900000000000002</v>
      </c>
      <c r="I31" s="121">
        <f t="shared" si="0"/>
        <v>9.8604000000000003</v>
      </c>
      <c r="J31" s="204"/>
      <c r="K31" s="122">
        <f t="shared" si="1"/>
        <v>5.9700000000000006</v>
      </c>
    </row>
    <row r="32" spans="1:11" x14ac:dyDescent="0.7">
      <c r="A32" s="191">
        <v>29</v>
      </c>
      <c r="B32" s="90" t="s">
        <v>336</v>
      </c>
      <c r="C32" s="90" t="s">
        <v>13</v>
      </c>
      <c r="D32" s="90" t="s">
        <v>173</v>
      </c>
      <c r="E32" s="90">
        <v>2</v>
      </c>
      <c r="F32" s="90">
        <v>0.6</v>
      </c>
      <c r="G32" s="90"/>
      <c r="H32" s="90">
        <v>2.1</v>
      </c>
      <c r="I32" s="121">
        <f t="shared" si="0"/>
        <v>2.52</v>
      </c>
      <c r="J32" s="204"/>
      <c r="K32" s="122">
        <f t="shared" si="1"/>
        <v>4.8</v>
      </c>
    </row>
    <row r="33" spans="1:11" x14ac:dyDescent="0.7">
      <c r="A33" s="191">
        <v>30</v>
      </c>
      <c r="B33" s="90" t="s">
        <v>336</v>
      </c>
      <c r="C33" s="90" t="s">
        <v>13</v>
      </c>
      <c r="D33" s="90" t="s">
        <v>173</v>
      </c>
      <c r="E33" s="90">
        <v>16</v>
      </c>
      <c r="F33" s="90">
        <v>0.7</v>
      </c>
      <c r="G33" s="90"/>
      <c r="H33" s="90">
        <v>2.42</v>
      </c>
      <c r="I33" s="121">
        <f t="shared" si="0"/>
        <v>27.103999999999999</v>
      </c>
      <c r="J33" s="204"/>
      <c r="K33" s="122">
        <f t="shared" si="1"/>
        <v>5.54</v>
      </c>
    </row>
    <row r="34" spans="1:11" ht="17.5" thickBot="1" x14ac:dyDescent="0.4">
      <c r="A34" s="205"/>
      <c r="B34" s="206"/>
      <c r="C34" s="206"/>
      <c r="D34" s="206"/>
      <c r="E34" s="206"/>
      <c r="F34" s="206"/>
      <c r="G34" s="207" t="s">
        <v>337</v>
      </c>
      <c r="H34" s="207"/>
      <c r="I34" s="207">
        <f>SUM(I4:I33)</f>
        <v>110.83149999999998</v>
      </c>
      <c r="J34" s="208"/>
      <c r="K34" s="203">
        <f>SUM(K4:K33)</f>
        <v>154.52000000000004</v>
      </c>
    </row>
  </sheetData>
  <mergeCells count="9">
    <mergeCell ref="A1:J1"/>
    <mergeCell ref="I2:I3"/>
    <mergeCell ref="J2:J3"/>
    <mergeCell ref="A2:A3"/>
    <mergeCell ref="B2:B3"/>
    <mergeCell ref="C2:C3"/>
    <mergeCell ref="D2:D3"/>
    <mergeCell ref="E2:E3"/>
    <mergeCell ref="F2:H2"/>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BOQ -Maigalganj</vt:lpstr>
      <vt:lpstr>Misc.Repairing Items</vt:lpstr>
      <vt:lpstr>Toll Plaza Enam. Painting</vt:lpstr>
      <vt:lpstr>Toll Plaza Canopy Painting</vt:lpstr>
      <vt:lpstr>Aluminium Partition work</vt:lpstr>
      <vt:lpstr>Alum.Repairing (Build)</vt:lpstr>
      <vt:lpstr>Curtains</vt:lpstr>
      <vt:lpstr>New Doors</vt:lpstr>
      <vt:lpstr>Door Repairing ACP</vt:lpstr>
      <vt:lpstr>Booth Repairing</vt:lpstr>
      <vt:lpstr>Work station and Storage. </vt:lpstr>
      <vt:lpstr> signboard</vt:lpstr>
      <vt:lpstr>Plaza Painting</vt:lpstr>
      <vt:lpstr>Electric Pole painting</vt:lpstr>
      <vt:lpstr>Landscaping</vt:lpstr>
      <vt:lpstr>False Ceiling</vt:lpstr>
      <vt:lpstr>NJB</vt:lpstr>
      <vt:lpstr>Toll plaza Boundary</vt:lpstr>
      <vt:lpstr>MS Gates</vt:lpstr>
      <vt:lpstr> Tiles </vt:lpstr>
      <vt:lpstr>Elec-First Floor</vt:lpstr>
      <vt:lpstr>Elec-Ground Floor</vt:lpstr>
      <vt:lpstr>Plumbing and Sanitary Items</vt:lpstr>
      <vt:lpstr>'Alum.Repairing (Build)'!Print_Area</vt:lpstr>
      <vt:lpstr>'Booth Repairing'!Print_Area</vt:lpstr>
      <vt:lpstr>'BOQ -Maigalganj'!Print_Area</vt:lpstr>
      <vt:lpstr>'Door Repairing ACP'!Print_Area</vt:lpstr>
      <vt:lpstr>'Elec-First Floor'!Print_Area</vt:lpstr>
      <vt:lpstr>'Elec-Ground Floor'!Print_Area</vt:lpstr>
      <vt:lpstr>'Misc.Repairing Items'!Print_Area</vt:lpstr>
      <vt:lpstr>'New Doors'!Print_Area</vt:lpstr>
      <vt:lpstr>NJB!Print_Area</vt:lpstr>
      <vt:lpstr>'Plaza Painting'!Print_Area</vt:lpstr>
      <vt:lpstr>'Toll Plaza Enam. Painting'!Print_Area</vt:lpstr>
      <vt:lpstr>'Work station and Storage. '!Print_Area</vt:lpstr>
      <vt:lpstr>'BOQ -Maigalganj'!Print_Titles</vt:lpstr>
      <vt:lpstr>'Toll Plaza Enam. Painting'!Print_Titles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Vinay Jindal</cp:lastModifiedBy>
  <cp:revision/>
  <cp:lastPrinted>2025-09-19T06:50:25Z</cp:lastPrinted>
  <dcterms:created xsi:type="dcterms:W3CDTF">2024-07-11T04:55:03Z</dcterms:created>
  <dcterms:modified xsi:type="dcterms:W3CDTF">2026-06-08T11:09:29Z</dcterms:modified>
  <cp:category/>
  <cp:contentStatus/>
</cp:coreProperties>
</file>